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dp" ContentType="image/vnd.ms-photo"/>
  <Default Extension="gif" ContentType="image/gif"/>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xl/charts/colors11.xml" ContentType="application/vnd.ms-office.chartcolorstyle+xml"/>
  <Override PartName="/xl/charts/style11.xml" ContentType="application/vnd.ms-office.chartstyle+xml"/>
  <Override PartName="/xl/charts/colors10.xml" ContentType="application/vnd.ms-office.chartcolorstyle+xml"/>
  <Override PartName="/xl/charts/style10.xml" ContentType="application/vnd.ms-office.chart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9.xml" ContentType="application/vnd.ms-office.chartcolorstyle+xml"/>
  <Override PartName="/xl/charts/colors6.xml" ContentType="application/vnd.ms-office.chartcolorstyle+xml"/>
  <Override PartName="/xl/charts/style6.xml" ContentType="application/vnd.ms-office.chartstyle+xml"/>
  <Override PartName="/xl/charts/style7.xml" ContentType="application/vnd.ms-office.chartstyle+xml"/>
  <Override PartName="/xl/charts/colors7.xml" ContentType="application/vnd.ms-office.chartcolorstyle+xml"/>
  <Override PartName="/xl/charts/style9.xml" ContentType="application/vnd.ms-office.chartstyle+xml"/>
  <Override PartName="/xl/charts/colors8.xml" ContentType="application/vnd.ms-office.chartcolorstyle+xml"/>
  <Override PartName="/xl/charts/style8.xml" ContentType="application/vnd.ms-office.chartstyle+xml"/>
  <Override PartName="/xl/charts/colors13.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colors3.xml" ContentType="application/vnd.ms-office.chartcolorstyle+xml"/>
  <Override PartName="/xl/charts/style3.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bookViews>
    <workbookView xWindow="65431" yWindow="65431" windowWidth="19425" windowHeight="11025" tabRatio="873" activeTab="0"/>
  </bookViews>
  <sheets>
    <sheet name="Start" sheetId="6" r:id="rId1"/>
    <sheet name="Produkcja wytworzona - ilość" sheetId="22" r:id="rId2"/>
    <sheet name="Produkcja sprzedana - wartość" sheetId="3" r:id="rId3"/>
    <sheet name="Porównaj swoje dane" sheetId="16" r:id="rId4"/>
    <sheet name="Tabela PW" sheetId="7" state="hidden" r:id="rId5"/>
    <sheet name="Słownik PW" sheetId="21" state="hidden" r:id="rId6"/>
    <sheet name="Tabela PS" sheetId="17" state="hidden" r:id="rId7"/>
    <sheet name="Rob Inne" sheetId="11" state="hidden" r:id="rId8"/>
  </sheets>
  <definedNames>
    <definedName name="_xlnm._FilterDatabase" localSheetId="5" hidden="1">'Słownik PW'!$A$1:$AN$119</definedName>
    <definedName name="_xlnm._FilterDatabase" localSheetId="4" hidden="1">'Tabela PW'!$A$1:$BI$670</definedName>
    <definedName name="Dział">'Słownik PW'!$E$2:$E$28</definedName>
    <definedName name="Dział01">'Słownik PW'!$K$2:$K$7</definedName>
    <definedName name="Dział02">'Słownik PW'!$L$2:$L$4</definedName>
    <definedName name="Dział03">'Słownik PW'!$M$2:$M$8</definedName>
    <definedName name="Dział04">'Słownik PW'!$N$2:$N$26</definedName>
    <definedName name="Dział05">'Słownik PW'!$O$2:$O$77</definedName>
    <definedName name="Dział06">'Słownik PW'!$P$2:$P$12</definedName>
    <definedName name="Dział07">'Słownik PW'!$Q$2:$Q$3</definedName>
    <definedName name="Dział08">'Słownik PW'!$R$2:$R$23</definedName>
    <definedName name="Dział09">'Słownik PW'!$S$2:$S$19</definedName>
    <definedName name="Dział10">'Słownik PW'!$T$2:$T$9</definedName>
    <definedName name="Dział11">'Słownik PW'!$U$2:$U$14</definedName>
    <definedName name="Dział12">'Słownik PW'!$V$2:$V$15</definedName>
    <definedName name="Dział13">'Słownik PW'!$W$2:$W$12</definedName>
    <definedName name="Dział14">'Słownik PW'!$X$2:$X$119</definedName>
    <definedName name="Dział15">'Słownik PW'!$Y$2:$Y$4</definedName>
    <definedName name="Dział16">'Słownik PW'!$Z$2:$Z$31</definedName>
    <definedName name="Dział17">'Słownik PW'!$AA$2:$AA$57</definedName>
    <definedName name="Dział18">'Słownik PW'!$AB$2:$AB$33</definedName>
    <definedName name="Dział19">'Słownik PW'!$AC$2:$AC$35</definedName>
    <definedName name="Dział20">'Słownik PW'!$AD$2:$AD$16</definedName>
    <definedName name="Dział21">'Słownik PW'!$AE$2:$AE$52</definedName>
    <definedName name="Dział22">'Słownik PW'!$AF$2:$AF$84</definedName>
    <definedName name="Dział23">'Słownik PW'!$AG$2:$AG$12</definedName>
    <definedName name="Dział24">'Słownik PW'!$AH$2:$AH$10</definedName>
    <definedName name="Dział25">'Słownik PW'!$AI$2:$AI$7</definedName>
    <definedName name="Dział26">'Słownik PW'!$AJ$2</definedName>
    <definedName name="Dział27">'Słownik PW'!$AK$2:$AK$6</definedName>
    <definedName name="Symbol_dział">'Słownik PW'!$F$2:$F$28</definedName>
    <definedName name="Wybrany_rok">'Tabela PS'!$AJ$1</definedName>
    <definedName name="Wybrany_wyrób">'Słownik PW'!$J$2:$J$119</definedName>
    <definedName name="zakres">'Słownik PW'!$G$33:'Słownik PW'!$G$34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Jerzy Karo</author>
  </authors>
  <commentList>
    <comment ref="F30" authorId="0">
      <text>
        <r>
          <rPr>
            <b/>
            <sz val="9"/>
            <rFont val="Tahoma"/>
            <family val="2"/>
          </rPr>
          <t>W celu uzyskania pełnej nazwy jednostki miary - wybierz jej symbol na rozwijanej liście  SŁOWNIKA JEDNOSTEK MIAR  umieszczonego powyżej.</t>
        </r>
      </text>
    </comment>
  </commentList>
</comments>
</file>

<file path=xl/comments3.xml><?xml version="1.0" encoding="utf-8"?>
<comments xmlns="http://schemas.openxmlformats.org/spreadsheetml/2006/main">
  <authors>
    <author>Jerzy Karo</author>
  </authors>
  <commentList>
    <comment ref="J16" authorId="0">
      <text>
        <r>
          <rPr>
            <b/>
            <sz val="9"/>
            <rFont val="Tahoma"/>
            <family val="2"/>
          </rPr>
          <t>WĘGIEL KAMIENNY I WĘGIEL BRUNATNY (LIGNIT) - (PKWiU 05)</t>
        </r>
        <r>
          <rPr>
            <sz val="9"/>
            <rFont val="Tahoma"/>
            <family val="2"/>
          </rPr>
          <t xml:space="preserve">
</t>
        </r>
      </text>
    </comment>
    <comment ref="K16" authorId="0">
      <text>
        <r>
          <rPr>
            <b/>
            <sz val="9"/>
            <rFont val="Tahoma"/>
            <family val="2"/>
          </rPr>
          <t>POZOSTAŁE PRODUKTY GÓRNICTWA I WYDOBYWANIA - (PKWiU 08)</t>
        </r>
        <r>
          <rPr>
            <sz val="9"/>
            <rFont val="Tahoma"/>
            <family val="2"/>
          </rPr>
          <t xml:space="preserve">
</t>
        </r>
      </text>
    </comment>
    <comment ref="L16" authorId="0">
      <text>
        <r>
          <rPr>
            <b/>
            <sz val="9"/>
            <rFont val="Tahoma"/>
            <family val="2"/>
          </rPr>
          <t>ARTYKUŁY SPOŻYWCZE - (PKWiU 10)</t>
        </r>
        <r>
          <rPr>
            <sz val="9"/>
            <rFont val="Tahoma"/>
            <family val="2"/>
          </rPr>
          <t xml:space="preserve">
</t>
        </r>
      </text>
    </comment>
    <comment ref="M16" authorId="0">
      <text>
        <r>
          <rPr>
            <b/>
            <sz val="9"/>
            <rFont val="Tahoma"/>
            <family val="2"/>
          </rPr>
          <t>NAPOJE - (PKWiU 11)</t>
        </r>
        <r>
          <rPr>
            <sz val="9"/>
            <rFont val="Tahoma"/>
            <family val="2"/>
          </rPr>
          <t xml:space="preserve">
</t>
        </r>
      </text>
    </comment>
    <comment ref="N16" authorId="0">
      <text>
        <r>
          <rPr>
            <b/>
            <sz val="9"/>
            <rFont val="Tahoma"/>
            <family val="2"/>
          </rPr>
          <t>WYROBY TYTONIOWE - (PKWiU 12)</t>
        </r>
        <r>
          <rPr>
            <sz val="9"/>
            <rFont val="Tahoma"/>
            <family val="2"/>
          </rPr>
          <t xml:space="preserve">
</t>
        </r>
      </text>
    </comment>
    <comment ref="P16" authorId="0">
      <text>
        <r>
          <rPr>
            <b/>
            <sz val="9"/>
            <rFont val="Tahoma"/>
            <family val="2"/>
          </rPr>
          <t>WYROBY TEKSTYLNE - (PKWiU 13)</t>
        </r>
        <r>
          <rPr>
            <sz val="9"/>
            <rFont val="Tahoma"/>
            <family val="2"/>
          </rPr>
          <t xml:space="preserve">
</t>
        </r>
      </text>
    </comment>
    <comment ref="Q16" authorId="0">
      <text>
        <r>
          <rPr>
            <b/>
            <sz val="9"/>
            <rFont val="Tahoma"/>
            <family val="2"/>
          </rPr>
          <t>ODZIEŻ - (PKWiU 14)</t>
        </r>
        <r>
          <rPr>
            <sz val="9"/>
            <rFont val="Tahoma"/>
            <family val="2"/>
          </rPr>
          <t xml:space="preserve">
</t>
        </r>
      </text>
    </comment>
    <comment ref="R16" authorId="0">
      <text>
        <r>
          <rPr>
            <b/>
            <sz val="9"/>
            <rFont val="Tahoma"/>
            <family val="2"/>
          </rPr>
          <t>SKÓRY I WYROBY ZE SKÓR WYPRAWIONYCH - (PKWiU 15)</t>
        </r>
        <r>
          <rPr>
            <sz val="9"/>
            <rFont val="Tahoma"/>
            <family val="2"/>
          </rPr>
          <t xml:space="preserve">
</t>
        </r>
      </text>
    </comment>
    <comment ref="S16" authorId="0">
      <text>
        <r>
          <rPr>
            <b/>
            <sz val="9"/>
            <rFont val="Tahoma"/>
            <family val="2"/>
          </rPr>
          <t>DREWNO I WYROBY Z DREWNA I KORKA, Z WYŁĄCZENIEM MEBLI; WYROBY ZE SŁOMY I MATERIAŁÓW W RODZAJU STOSOWANYCH DO WYPLATANIA - (PKWiU 16)</t>
        </r>
        <r>
          <rPr>
            <sz val="9"/>
            <rFont val="Tahoma"/>
            <family val="2"/>
          </rPr>
          <t xml:space="preserve">
</t>
        </r>
      </text>
    </comment>
    <comment ref="T16" authorId="0">
      <text>
        <r>
          <rPr>
            <b/>
            <sz val="9"/>
            <rFont val="Tahoma"/>
            <family val="2"/>
          </rPr>
          <t>PAPIER I WYROBY Z PAPIERU - (PKWiU 17)</t>
        </r>
        <r>
          <rPr>
            <sz val="9"/>
            <rFont val="Tahoma"/>
            <family val="2"/>
          </rPr>
          <t xml:space="preserve">
</t>
        </r>
      </text>
    </comment>
    <comment ref="V16" authorId="0">
      <text>
        <r>
          <rPr>
            <b/>
            <sz val="9"/>
            <rFont val="Tahoma"/>
            <family val="2"/>
          </rPr>
          <t>USŁUGI POLIGRAFICZNE I USŁUGI REPRODUKCJI ZAPISANYCH NOŚNIKÓW INFORMACJI - (PKWiU 18)</t>
        </r>
        <r>
          <rPr>
            <sz val="9"/>
            <rFont val="Tahoma"/>
            <family val="2"/>
          </rPr>
          <t xml:space="preserve">
</t>
        </r>
      </text>
    </comment>
    <comment ref="W16" authorId="0">
      <text>
        <r>
          <rPr>
            <b/>
            <sz val="9"/>
            <rFont val="Tahoma"/>
            <family val="2"/>
          </rPr>
          <t>KOKS, BRYKIETY I PODOBNE PALIWA STAŁE Z WĘGLA I TORFU ORAZ PRODUKTY RAFINACJI ROPY NAFTOWEJ - (PKWiU 19)</t>
        </r>
        <r>
          <rPr>
            <sz val="9"/>
            <rFont val="Tahoma"/>
            <family val="2"/>
          </rPr>
          <t xml:space="preserve">
</t>
        </r>
      </text>
    </comment>
    <comment ref="X16" authorId="0">
      <text>
        <r>
          <rPr>
            <b/>
            <sz val="9"/>
            <rFont val="Tahoma"/>
            <family val="2"/>
          </rPr>
          <t>CHEMIKALIA I WYROBY CHEMICZNE - (PKWiU 20)</t>
        </r>
        <r>
          <rPr>
            <sz val="9"/>
            <rFont val="Tahoma"/>
            <family val="2"/>
          </rPr>
          <t xml:space="preserve">
</t>
        </r>
      </text>
    </comment>
    <comment ref="Y16" authorId="0">
      <text>
        <r>
          <rPr>
            <b/>
            <sz val="9"/>
            <rFont val="Tahoma"/>
            <family val="2"/>
          </rPr>
          <t>PODSTAWOWE SUBSTANCJE FARMACEUTYCZNE, LEKI I POZOSTAŁE WYROBY FARMACEUTYCZNE - (PKWiU 21)</t>
        </r>
        <r>
          <rPr>
            <sz val="9"/>
            <rFont val="Tahoma"/>
            <family val="2"/>
          </rPr>
          <t xml:space="preserve">
</t>
        </r>
      </text>
    </comment>
    <comment ref="Z16" authorId="0">
      <text>
        <r>
          <rPr>
            <b/>
            <sz val="9"/>
            <rFont val="Tahoma"/>
            <family val="2"/>
          </rPr>
          <t>WYROBY Z GUMY I TWORZYW SZTUCZNYCH - (PKWiU 22)</t>
        </r>
        <r>
          <rPr>
            <sz val="9"/>
            <rFont val="Tahoma"/>
            <family val="2"/>
          </rPr>
          <t xml:space="preserve">
</t>
        </r>
      </text>
    </comment>
    <comment ref="AA16" authorId="0">
      <text>
        <r>
          <rPr>
            <b/>
            <sz val="9"/>
            <rFont val="Tahoma"/>
            <family val="2"/>
          </rPr>
          <t>WYROBY Z POZOSTAŁYCH MINERALNYCH SUROWCÓW NIEMETALICZNYCH - (PKWiU 23)</t>
        </r>
        <r>
          <rPr>
            <sz val="9"/>
            <rFont val="Tahoma"/>
            <family val="2"/>
          </rPr>
          <t xml:space="preserve">
</t>
        </r>
      </text>
    </comment>
    <comment ref="AB16" authorId="0">
      <text>
        <r>
          <rPr>
            <b/>
            <sz val="9"/>
            <rFont val="Tahoma"/>
            <family val="2"/>
          </rPr>
          <t>METALE - (PKWiU 24)</t>
        </r>
        <r>
          <rPr>
            <sz val="9"/>
            <rFont val="Tahoma"/>
            <family val="2"/>
          </rPr>
          <t xml:space="preserve">
</t>
        </r>
      </text>
    </comment>
    <comment ref="AC16" authorId="0">
      <text>
        <r>
          <rPr>
            <b/>
            <sz val="9"/>
            <rFont val="Tahoma"/>
            <family val="2"/>
          </rPr>
          <t>WYROBY METALOWE GOTOWE, Z WYŁĄCZENIEM MASZYN I URZĄDZEŃ - (PKWiU 25)</t>
        </r>
        <r>
          <rPr>
            <sz val="9"/>
            <rFont val="Tahoma"/>
            <family val="2"/>
          </rPr>
          <t xml:space="preserve">
</t>
        </r>
      </text>
    </comment>
    <comment ref="AD16" authorId="0">
      <text>
        <r>
          <rPr>
            <b/>
            <sz val="9"/>
            <rFont val="Tahoma"/>
            <family val="2"/>
          </rPr>
          <t>KOMPUTERY, WYROBY ELEKTRONICZNE I OPTYCZNE - (PKWiU 26)</t>
        </r>
        <r>
          <rPr>
            <sz val="9"/>
            <rFont val="Tahoma"/>
            <family val="2"/>
          </rPr>
          <t xml:space="preserve">
</t>
        </r>
      </text>
    </comment>
    <comment ref="AE16" authorId="0">
      <text>
        <r>
          <rPr>
            <b/>
            <sz val="9"/>
            <rFont val="Tahoma"/>
            <family val="2"/>
          </rPr>
          <t>URZĄDZENIA ELEKTRYCZNE I NIEELEKTRYCZNY SPRZĘT GOSPODARSTWA DOMOWEGO - 
(PKWiU 27)</t>
        </r>
      </text>
    </comment>
    <comment ref="AF16" authorId="0">
      <text>
        <r>
          <rPr>
            <b/>
            <sz val="9"/>
            <rFont val="Tahoma"/>
            <family val="2"/>
          </rPr>
          <t>MASZYNY I URZĄDZENIA, GDZIE INDZIEJ NIESKLASYFIKOWANE - (PKWiU 28)</t>
        </r>
        <r>
          <rPr>
            <sz val="9"/>
            <rFont val="Tahoma"/>
            <family val="2"/>
          </rPr>
          <t xml:space="preserve">
</t>
        </r>
      </text>
    </comment>
    <comment ref="AG16" authorId="0">
      <text>
        <r>
          <rPr>
            <b/>
            <sz val="9"/>
            <rFont val="Tahoma"/>
            <family val="2"/>
          </rPr>
          <t>POJAZDY SAMOCHODOWE (Z WYŁĄCZENIEM MOTOCYKLI), PRZYCZEPY  I NACZEPY - 
(PKWiU 29)</t>
        </r>
        <r>
          <rPr>
            <sz val="9"/>
            <rFont val="Tahoma"/>
            <family val="2"/>
          </rPr>
          <t xml:space="preserve">
</t>
        </r>
      </text>
    </comment>
    <comment ref="AI16" authorId="0">
      <text>
        <r>
          <rPr>
            <b/>
            <sz val="9"/>
            <rFont val="Tahoma"/>
            <family val="2"/>
          </rPr>
          <t>PRODUKCJA POZOSTAŁEGO SPRZĘTU TRANSPORTOWEGO - 
(PKWiU 30)</t>
        </r>
        <r>
          <rPr>
            <sz val="9"/>
            <rFont val="Tahoma"/>
            <family val="2"/>
          </rPr>
          <t xml:space="preserve">
</t>
        </r>
      </text>
    </comment>
    <comment ref="AJ16" authorId="0">
      <text>
        <r>
          <rPr>
            <b/>
            <sz val="9"/>
            <rFont val="Tahoma"/>
            <family val="2"/>
          </rPr>
          <t>MEBLE -
 (PKWiU 31)</t>
        </r>
        <r>
          <rPr>
            <sz val="9"/>
            <rFont val="Tahoma"/>
            <family val="2"/>
          </rPr>
          <t xml:space="preserve">
</t>
        </r>
      </text>
    </comment>
    <comment ref="AK16" authorId="0">
      <text>
        <r>
          <rPr>
            <b/>
            <sz val="9"/>
            <rFont val="Tahoma"/>
            <family val="2"/>
          </rPr>
          <t>POZOSTAŁE WYROBY
 - (PKWiU 32)</t>
        </r>
      </text>
    </comment>
    <comment ref="J21" authorId="0">
      <text>
        <r>
          <rPr>
            <b/>
            <sz val="9"/>
            <rFont val="Tahoma"/>
            <family val="2"/>
          </rPr>
          <t>WĘGIEL KAMIENNY I WĘGIEL BRUNATNY (LIGNIT) - (PKWiU 05)</t>
        </r>
        <r>
          <rPr>
            <sz val="9"/>
            <rFont val="Tahoma"/>
            <family val="2"/>
          </rPr>
          <t xml:space="preserve">
</t>
        </r>
      </text>
    </comment>
    <comment ref="K21" authorId="0">
      <text>
        <r>
          <rPr>
            <b/>
            <sz val="9"/>
            <rFont val="Tahoma"/>
            <family val="2"/>
          </rPr>
          <t>POZOSTAŁE PRODUKTY GÓRNICTWA I WYDOBYWANIA - (PKWiU 08)</t>
        </r>
        <r>
          <rPr>
            <sz val="9"/>
            <rFont val="Tahoma"/>
            <family val="2"/>
          </rPr>
          <t xml:space="preserve">
</t>
        </r>
      </text>
    </comment>
    <comment ref="L21" authorId="0">
      <text>
        <r>
          <rPr>
            <b/>
            <sz val="9"/>
            <rFont val="Tahoma"/>
            <family val="2"/>
          </rPr>
          <t>ARTYKUŁY SPOŻYWCZE - (PKWiU 10)</t>
        </r>
        <r>
          <rPr>
            <sz val="9"/>
            <rFont val="Tahoma"/>
            <family val="2"/>
          </rPr>
          <t xml:space="preserve">
</t>
        </r>
      </text>
    </comment>
    <comment ref="M21" authorId="0">
      <text>
        <r>
          <rPr>
            <b/>
            <sz val="9"/>
            <rFont val="Tahoma"/>
            <family val="2"/>
          </rPr>
          <t>NAPOJE - (PKWiU 11)</t>
        </r>
        <r>
          <rPr>
            <sz val="9"/>
            <rFont val="Tahoma"/>
            <family val="2"/>
          </rPr>
          <t xml:space="preserve">
</t>
        </r>
      </text>
    </comment>
    <comment ref="N21" authorId="0">
      <text>
        <r>
          <rPr>
            <b/>
            <sz val="9"/>
            <rFont val="Tahoma"/>
            <family val="2"/>
          </rPr>
          <t>WYROBY TYTONIOWE - (PKWiU 12)</t>
        </r>
        <r>
          <rPr>
            <sz val="9"/>
            <rFont val="Tahoma"/>
            <family val="2"/>
          </rPr>
          <t xml:space="preserve">
</t>
        </r>
      </text>
    </comment>
    <comment ref="P21" authorId="0">
      <text>
        <r>
          <rPr>
            <b/>
            <sz val="9"/>
            <rFont val="Tahoma"/>
            <family val="2"/>
          </rPr>
          <t>WYROBY TEKSTYLNE - (PKWiU 13)</t>
        </r>
        <r>
          <rPr>
            <sz val="9"/>
            <rFont val="Tahoma"/>
            <family val="2"/>
          </rPr>
          <t xml:space="preserve">
</t>
        </r>
      </text>
    </comment>
    <comment ref="Q21" authorId="0">
      <text>
        <r>
          <rPr>
            <b/>
            <sz val="9"/>
            <rFont val="Tahoma"/>
            <family val="2"/>
          </rPr>
          <t>ODZIEŻ - (PKWiU 14)</t>
        </r>
        <r>
          <rPr>
            <sz val="9"/>
            <rFont val="Tahoma"/>
            <family val="2"/>
          </rPr>
          <t xml:space="preserve">
</t>
        </r>
      </text>
    </comment>
    <comment ref="R21" authorId="0">
      <text>
        <r>
          <rPr>
            <b/>
            <sz val="9"/>
            <rFont val="Tahoma"/>
            <family val="2"/>
          </rPr>
          <t>SKÓRY I WYROBY ZE SKÓR WYPRAWIONYCH - (PKWiU 15)</t>
        </r>
        <r>
          <rPr>
            <sz val="9"/>
            <rFont val="Tahoma"/>
            <family val="2"/>
          </rPr>
          <t xml:space="preserve">
</t>
        </r>
      </text>
    </comment>
    <comment ref="S21" authorId="0">
      <text>
        <r>
          <rPr>
            <b/>
            <sz val="9"/>
            <rFont val="Tahoma"/>
            <family val="2"/>
          </rPr>
          <t>DREWNO I WYROBY Z DREWNA I KORKA, Z WYŁĄCZENIEM MEBLI; WYROBY ZE SŁOMY I MATERIAŁÓW W RODZAJU STOSOWANYCH DO WYPLATANIA - (PKWiU 16)</t>
        </r>
        <r>
          <rPr>
            <sz val="9"/>
            <rFont val="Tahoma"/>
            <family val="2"/>
          </rPr>
          <t xml:space="preserve">
</t>
        </r>
      </text>
    </comment>
    <comment ref="T21" authorId="0">
      <text>
        <r>
          <rPr>
            <b/>
            <sz val="9"/>
            <rFont val="Tahoma"/>
            <family val="2"/>
          </rPr>
          <t>PAPIER I WYROBY Z PAPIERU - (PKWiU 17)</t>
        </r>
        <r>
          <rPr>
            <sz val="9"/>
            <rFont val="Tahoma"/>
            <family val="2"/>
          </rPr>
          <t xml:space="preserve">
</t>
        </r>
      </text>
    </comment>
    <comment ref="V21" authorId="0">
      <text>
        <r>
          <rPr>
            <b/>
            <sz val="9"/>
            <rFont val="Tahoma"/>
            <family val="2"/>
          </rPr>
          <t>USŁUGI POLIGRAFICZNE I USŁUGI REPRODUKCJI ZAPISANYCH NOŚNIKÓW INFORMACJI - (PKWiU 18)</t>
        </r>
        <r>
          <rPr>
            <sz val="9"/>
            <rFont val="Tahoma"/>
            <family val="2"/>
          </rPr>
          <t xml:space="preserve">
</t>
        </r>
      </text>
    </comment>
    <comment ref="W21" authorId="0">
      <text>
        <r>
          <rPr>
            <b/>
            <sz val="9"/>
            <rFont val="Tahoma"/>
            <family val="2"/>
          </rPr>
          <t>KOKS, BRYKIETY I PODOBNE PALIWA STAŁE Z WĘGLA I TORFU ORAZ PRODUKTY RAFINACJI ROPY NAFTOWEJ - (PKWiU 19)</t>
        </r>
        <r>
          <rPr>
            <sz val="9"/>
            <rFont val="Tahoma"/>
            <family val="2"/>
          </rPr>
          <t xml:space="preserve">
</t>
        </r>
      </text>
    </comment>
    <comment ref="X21" authorId="0">
      <text>
        <r>
          <rPr>
            <b/>
            <sz val="9"/>
            <rFont val="Tahoma"/>
            <family val="2"/>
          </rPr>
          <t>CHEMIKALIA I WYROBY CHEMICZNE - (PKWiU 20)</t>
        </r>
        <r>
          <rPr>
            <sz val="9"/>
            <rFont val="Tahoma"/>
            <family val="2"/>
          </rPr>
          <t xml:space="preserve">
</t>
        </r>
      </text>
    </comment>
    <comment ref="Y21" authorId="0">
      <text>
        <r>
          <rPr>
            <b/>
            <sz val="9"/>
            <rFont val="Tahoma"/>
            <family val="2"/>
          </rPr>
          <t>PODSTAWOWE SUBSTANCJE FARMACEUTYCZNE, LEKI I POZOSTAŁE WYROBY FARMACEUTYCZNE - (PKWiU 21)</t>
        </r>
        <r>
          <rPr>
            <sz val="9"/>
            <rFont val="Tahoma"/>
            <family val="2"/>
          </rPr>
          <t xml:space="preserve">
</t>
        </r>
      </text>
    </comment>
    <comment ref="Z21" authorId="0">
      <text>
        <r>
          <rPr>
            <b/>
            <sz val="9"/>
            <rFont val="Tahoma"/>
            <family val="2"/>
          </rPr>
          <t>WYROBY Z GUMY I TWORZYW SZTUCZNYCH - (PKWiU 22)</t>
        </r>
        <r>
          <rPr>
            <sz val="9"/>
            <rFont val="Tahoma"/>
            <family val="2"/>
          </rPr>
          <t xml:space="preserve">
</t>
        </r>
      </text>
    </comment>
    <comment ref="AA21" authorId="0">
      <text>
        <r>
          <rPr>
            <b/>
            <sz val="9"/>
            <rFont val="Tahoma"/>
            <family val="2"/>
          </rPr>
          <t>WYROBY Z POZOSTAŁYCH MINERALNYCH SUROWCÓW NIEMETALICZNYCH - (PKWiU 23)</t>
        </r>
        <r>
          <rPr>
            <sz val="9"/>
            <rFont val="Tahoma"/>
            <family val="2"/>
          </rPr>
          <t xml:space="preserve">
</t>
        </r>
      </text>
    </comment>
    <comment ref="AB21" authorId="0">
      <text>
        <r>
          <rPr>
            <b/>
            <sz val="9"/>
            <rFont val="Tahoma"/>
            <family val="2"/>
          </rPr>
          <t>METALE - (PKWiU 24)</t>
        </r>
        <r>
          <rPr>
            <sz val="9"/>
            <rFont val="Tahoma"/>
            <family val="2"/>
          </rPr>
          <t xml:space="preserve">
</t>
        </r>
      </text>
    </comment>
    <comment ref="AC21" authorId="0">
      <text>
        <r>
          <rPr>
            <b/>
            <sz val="9"/>
            <rFont val="Tahoma"/>
            <family val="2"/>
          </rPr>
          <t>WYROBY METALOWE GOTOWE, Z WYŁĄCZENIEM MASZYN I URZĄDZEŃ - (PKWiU 25)</t>
        </r>
        <r>
          <rPr>
            <sz val="9"/>
            <rFont val="Tahoma"/>
            <family val="2"/>
          </rPr>
          <t xml:space="preserve">
</t>
        </r>
      </text>
    </comment>
    <comment ref="AD21" authorId="0">
      <text>
        <r>
          <rPr>
            <b/>
            <sz val="9"/>
            <rFont val="Tahoma"/>
            <family val="2"/>
          </rPr>
          <t>KOMPUTERY, WYROBY ELEKTRONICZNE I OPTYCZNE - (PKWiU 26)</t>
        </r>
        <r>
          <rPr>
            <sz val="9"/>
            <rFont val="Tahoma"/>
            <family val="2"/>
          </rPr>
          <t xml:space="preserve">
</t>
        </r>
      </text>
    </comment>
    <comment ref="AE21" authorId="0">
      <text>
        <r>
          <rPr>
            <b/>
            <sz val="9"/>
            <rFont val="Tahoma"/>
            <family val="2"/>
          </rPr>
          <t>URZĄDZENIA ELEKTRYCZNE</t>
        </r>
        <r>
          <rPr>
            <sz val="9"/>
            <rFont val="Tahoma"/>
            <family val="2"/>
          </rPr>
          <t xml:space="preserve"> I </t>
        </r>
        <r>
          <rPr>
            <b/>
            <sz val="9"/>
            <rFont val="Tahoma"/>
            <family val="2"/>
          </rPr>
          <t>NIEELEKTRYCZNY SPRZĘT GOSPODARSTWA DOMOWEGO -
 (PKWiU 27)</t>
        </r>
      </text>
    </comment>
    <comment ref="AF21" authorId="0">
      <text>
        <r>
          <rPr>
            <b/>
            <sz val="9"/>
            <rFont val="Tahoma"/>
            <family val="2"/>
          </rPr>
          <t>MASZYNY I URZĄDZENIA, GDZIE INDZIEJ NIESKLASYFIKOWANE - (PKWiU 28)</t>
        </r>
        <r>
          <rPr>
            <sz val="9"/>
            <rFont val="Tahoma"/>
            <family val="2"/>
          </rPr>
          <t xml:space="preserve">
</t>
        </r>
      </text>
    </comment>
    <comment ref="AG21" authorId="0">
      <text>
        <r>
          <rPr>
            <b/>
            <sz val="9"/>
            <rFont val="Tahoma"/>
            <family val="2"/>
          </rPr>
          <t>POJAZDY SAMOCHODOWE (Z WYŁĄCZENIEM MOTOCYKLI), PRZYCZEPY  I NACZEPY - 
(PKWiU 29)</t>
        </r>
        <r>
          <rPr>
            <sz val="9"/>
            <rFont val="Tahoma"/>
            <family val="2"/>
          </rPr>
          <t xml:space="preserve">
</t>
        </r>
      </text>
    </comment>
    <comment ref="AI21" authorId="0">
      <text>
        <r>
          <rPr>
            <b/>
            <sz val="9"/>
            <rFont val="Tahoma"/>
            <family val="2"/>
          </rPr>
          <t>PRODUKCJA POZOSTAŁEGO SPRZĘTU TRANSPORTOWEGO - (PKWiU 30)</t>
        </r>
        <r>
          <rPr>
            <sz val="9"/>
            <rFont val="Tahoma"/>
            <family val="2"/>
          </rPr>
          <t xml:space="preserve">
</t>
        </r>
      </text>
    </comment>
    <comment ref="AJ21" authorId="0">
      <text>
        <r>
          <rPr>
            <b/>
            <sz val="9"/>
            <rFont val="Tahoma"/>
            <family val="2"/>
          </rPr>
          <t>MEBLE - (PKWiU 31)</t>
        </r>
        <r>
          <rPr>
            <sz val="9"/>
            <rFont val="Tahoma"/>
            <family val="2"/>
          </rPr>
          <t xml:space="preserve">
</t>
        </r>
      </text>
    </comment>
    <comment ref="AK21" authorId="0">
      <text>
        <r>
          <rPr>
            <b/>
            <sz val="9"/>
            <rFont val="Tahoma"/>
            <family val="2"/>
          </rPr>
          <t>POZOSTAŁE WYROBY
 - (PKWiU 32)</t>
        </r>
        <r>
          <rPr>
            <sz val="9"/>
            <rFont val="Tahoma"/>
            <family val="2"/>
          </rPr>
          <t xml:space="preserve">
</t>
        </r>
      </text>
    </comment>
  </commentList>
</comments>
</file>

<file path=xl/sharedStrings.xml><?xml version="1.0" encoding="utf-8"?>
<sst xmlns="http://schemas.openxmlformats.org/spreadsheetml/2006/main" count="10240" uniqueCount="4606">
  <si>
    <t>Tłuszcze zwierzęce topione jadalne</t>
  </si>
  <si>
    <t>Mięso drobiowe</t>
  </si>
  <si>
    <t>Konserwy drobiowe</t>
  </si>
  <si>
    <t>Wędliny i kiełbasy drobiowe</t>
  </si>
  <si>
    <t>Wyroby wędliniarskie drobiowe</t>
  </si>
  <si>
    <t>Ryby morskie mrożone</t>
  </si>
  <si>
    <t>Ryby wędzone</t>
  </si>
  <si>
    <t>Konserwy rybne</t>
  </si>
  <si>
    <t>Frytki</t>
  </si>
  <si>
    <t>Chipsy</t>
  </si>
  <si>
    <t>Warzywa zamrożone</t>
  </si>
  <si>
    <t>Konserwy warzywne</t>
  </si>
  <si>
    <t>Marynaty warzywne</t>
  </si>
  <si>
    <t>Masło</t>
  </si>
  <si>
    <t>Sery i twarogi</t>
  </si>
  <si>
    <t>Mąka pszenna</t>
  </si>
  <si>
    <t>Mąka żytnia</t>
  </si>
  <si>
    <t>Kasze i mączki z pszenicy</t>
  </si>
  <si>
    <t>Kasze i grysiki jęczmienne</t>
  </si>
  <si>
    <t>Kasze i grysiki gryczane</t>
  </si>
  <si>
    <t>Skrobia ziemniaczana</t>
  </si>
  <si>
    <t>Lp</t>
  </si>
  <si>
    <t>Jednostka miary</t>
  </si>
  <si>
    <t>WĘGIEL KAMIENNY I BRUNATNY (LIGNIT)</t>
  </si>
  <si>
    <t>Węgiel kamienny</t>
  </si>
  <si>
    <t>t</t>
  </si>
  <si>
    <t>Węgiel energetyczny</t>
  </si>
  <si>
    <t>Węgiel brunatny</t>
  </si>
  <si>
    <t>ROPA NAFTOWA I GAZ ZIEMNY</t>
  </si>
  <si>
    <t>Oleje ropy naftowej i oleje otrzymywane z minerałów bitumicznych</t>
  </si>
  <si>
    <t>Gaz ziemny w stanie ciekłym lub gazowym</t>
  </si>
  <si>
    <t>dam³</t>
  </si>
  <si>
    <t>GJ</t>
  </si>
  <si>
    <t>RUDY METALI</t>
  </si>
  <si>
    <t>Rudy i koncentraty miedzi</t>
  </si>
  <si>
    <t>t Cu</t>
  </si>
  <si>
    <t>Koncentraty miedzi</t>
  </si>
  <si>
    <t>kg Ag</t>
  </si>
  <si>
    <t>Rudy i koncentraty ołowiu</t>
  </si>
  <si>
    <t>t Pb</t>
  </si>
  <si>
    <t>POZOSTAŁE PRODUKTY GÓRNICTWA I WYDOBYWANIA</t>
  </si>
  <si>
    <t>Mineralne środki dla rolnictwa wapniowe i wapniowo-magnezowe (tlenkowe i węglanowe)</t>
  </si>
  <si>
    <t>Kwarcyt</t>
  </si>
  <si>
    <t>Gips i anhydryt</t>
  </si>
  <si>
    <t>Topnik wapniowy, wapień i pozostałe kamienie wapienne w rodzaju stosowanych do produkcji wapna lub cementu, z wyłączeniem agregatów tłucznia wapiennego lub kamieni wapiennych wymiarowych</t>
  </si>
  <si>
    <t>Kreda (łącznie z nawozową)</t>
  </si>
  <si>
    <t>Kreda mielona, nawozowa</t>
  </si>
  <si>
    <t>Dolomit niekalcynowany ani niespiekany</t>
  </si>
  <si>
    <t>Piaski krzemionkowe i piaski kwarcowe</t>
  </si>
  <si>
    <t>Piasek szklarski</t>
  </si>
  <si>
    <t>Piasek formierski</t>
  </si>
  <si>
    <t>Żwir, otoczaki, gruby żwir i krzemień w rodzaju stosowanych jako kruszywo do betonu, tłuczeń drogowy lub podsypka torów kolejowych</t>
  </si>
  <si>
    <t>Tłuczeń kamienny w rodzaju stosowanego jako kruszywo do betonu, tłuczeń drogowy lub do innych celów budowlanych (kruszywo mineralne łamane zwykłe)</t>
  </si>
  <si>
    <t>Granulki, odłamki i proszek kamienny (trawertyn, ekausyna, granit, porfir, bazalt, piaskowiec i pozostały kamień pomnikowy)</t>
  </si>
  <si>
    <t>Kaolin i gliny kaolinowe</t>
  </si>
  <si>
    <t>Glina ogniotrwała</t>
  </si>
  <si>
    <t>Glina ogniotrwała surowa</t>
  </si>
  <si>
    <t>Łupki i gliny pospolite, do celów budowlanych, z wyłączeniem bentonitu, gliny ogniotrwałej, iłów porowatych, kaolinu i glin kaolinowych; andaluzyt, cyjanit i sylimanit, mulit, ziemie szamotowe lub dynasowe</t>
  </si>
  <si>
    <t>Siarka rodzima z wydobycia</t>
  </si>
  <si>
    <t>t S</t>
  </si>
  <si>
    <t>Torf z wyłączeniem brykietów i podobnych paliw stałych</t>
  </si>
  <si>
    <t>Sól ogółem (z wyłączeniem soli do spożycia)</t>
  </si>
  <si>
    <t>Sól kamienna (z wyłączeniem soli do spożycia)</t>
  </si>
  <si>
    <t>Sól warzona (z wyłączeniem soli do spożycia)</t>
  </si>
  <si>
    <t>Sól w solance</t>
  </si>
  <si>
    <t>t NaCl</t>
  </si>
  <si>
    <t>Kwarc, z wyłączeniem piasku naturalnego</t>
  </si>
  <si>
    <t>ARTYKUŁY SPOŻYWCZE</t>
  </si>
  <si>
    <t>Produkty uboju bydła i cieląt wliczane do wydajności poubojowej w wadze poubojowej ciepłej</t>
  </si>
  <si>
    <t>Produkty uboju trzody chlewnej wliczane do wydajności poubojowej w wadze poubojowej ciepłej</t>
  </si>
  <si>
    <t>Wędliny i kiełbasy bez drobiowych</t>
  </si>
  <si>
    <t>Kiełbasy i podobne wyroby z wątroby</t>
  </si>
  <si>
    <t>Konserwy mięsne i podrobowe wołowe i cielęce, włączając szynki i łopatki</t>
  </si>
  <si>
    <t>Soki z owoców i warzyw</t>
  </si>
  <si>
    <t>hl</t>
  </si>
  <si>
    <t>Sok pomidorowy</t>
  </si>
  <si>
    <t>Soki z owoców cytrusowych nieskoncentrowane</t>
  </si>
  <si>
    <t>Soki owocowe nieskoncentrowane, bez cytrusowych</t>
  </si>
  <si>
    <t>Dżemy z owoców innych niż cytrusowe</t>
  </si>
  <si>
    <t>Olej sojowy z frakcjami rafinowany, jadalny</t>
  </si>
  <si>
    <t>Olej słonecznikowy wraz z frakcjami rafinowany, jadalny</t>
  </si>
  <si>
    <t>Olej rzepakowy i rzepikowy wraz z frakcjami rafinowany, jadalny</t>
  </si>
  <si>
    <t>Margaryna i produkty do smarowania, o obniżonej lub niskiej zawartości tłuszczu, z wyłączeniem margaryny płynnej</t>
  </si>
  <si>
    <t>Mleko płynne przetworzone</t>
  </si>
  <si>
    <t>Mleko spożywcze odtłuszczone</t>
  </si>
  <si>
    <t>Mleko spożywcze normalizowane</t>
  </si>
  <si>
    <t>Śmietana normalizowana</t>
  </si>
  <si>
    <t>Mleko i śmietana w postaci stałej</t>
  </si>
  <si>
    <t>Ser świeży (niedojrzewający i niekonserwowany), włącznie z serem serwatkowym i twarogiem</t>
  </si>
  <si>
    <t>Sery podpuszczkowe dojrzewające</t>
  </si>
  <si>
    <t>Ser przetworzony (ser topiony), z wyłączeniem tartego lub sproszkowanego</t>
  </si>
  <si>
    <t>Jogurt</t>
  </si>
  <si>
    <t>Kazeina</t>
  </si>
  <si>
    <t>Lody</t>
  </si>
  <si>
    <t>Pieczywo świeże</t>
  </si>
  <si>
    <t>Pieczywo żytnie</t>
  </si>
  <si>
    <t>Pieczywo pszenne</t>
  </si>
  <si>
    <t>Pieczywo z mąki mieszanej pszennej i żytniej</t>
  </si>
  <si>
    <t>Makaron</t>
  </si>
  <si>
    <t>Cukier, w przeliczeniu na cukier biały</t>
  </si>
  <si>
    <t>Melasy powstałe z ekstrakcji lub rafinacji cukru, z wyłączeniem melas trzcinowych</t>
  </si>
  <si>
    <t>Czekolada i pozostałe przetwory zawierające kakao, o masie większej niż 2 kg, zawierające 18% lub więcej masy masła kakaowego</t>
  </si>
  <si>
    <t>Czekolada itp. przetwory zawierające kakao, nadziewane, w blokach, tabliczkach, batonach</t>
  </si>
  <si>
    <t>Czekolada itp. przetwory zawierające kakao, bez nadzienia, z dodatkiem zbóż, owoców lub orzechów, w blokach, tabliczkach, batonach</t>
  </si>
  <si>
    <t>Cukierki czekoladowane</t>
  </si>
  <si>
    <t>Biała czekolada</t>
  </si>
  <si>
    <t>Toffi, karmelki i podobne cukierki</t>
  </si>
  <si>
    <t>Wyroby wschodnie cukiernicze</t>
  </si>
  <si>
    <t>Kawa palona, niepozbawiona kofeiny</t>
  </si>
  <si>
    <t>Herbata w opakowaniach o zawartości nieprzekraczającej 3 kg</t>
  </si>
  <si>
    <t>Ocet</t>
  </si>
  <si>
    <t>hl 6%</t>
  </si>
  <si>
    <t>Ketchup pomidorowy i pozostałe sosy pomidorowe</t>
  </si>
  <si>
    <t>Gotowa musztarda</t>
  </si>
  <si>
    <t>Majonez</t>
  </si>
  <si>
    <t>Sól kamienna odpowiednia do spożycia przez ludzi</t>
  </si>
  <si>
    <t>Sól warzona odpowiednia do spożycia przez ludzi</t>
  </si>
  <si>
    <t>Zupy i buliony i preparaty do nich</t>
  </si>
  <si>
    <t>Drożdże piekarnicze</t>
  </si>
  <si>
    <t>Gotowe pasze dla zwierząt gospodarskich</t>
  </si>
  <si>
    <t>Gotowa karma dla zwierząt domowych</t>
  </si>
  <si>
    <t>NAPOJE</t>
  </si>
  <si>
    <t>Wódka czysta</t>
  </si>
  <si>
    <t>hl 100%</t>
  </si>
  <si>
    <t>Wina (gronowe)</t>
  </si>
  <si>
    <t>Miody pitne</t>
  </si>
  <si>
    <t>Napoje fermentowane z wyjątkiem moszczów i miodów</t>
  </si>
  <si>
    <t>Piwo otrzymywane ze słodu</t>
  </si>
  <si>
    <t>Słód</t>
  </si>
  <si>
    <t>Wody mineralne i wody gazowane, niesłodzone i niearomatyzowane</t>
  </si>
  <si>
    <t>Wody mineralne naturalne</t>
  </si>
  <si>
    <t>Wody z dodatkiem cukru i innych substancji słodzących lub aromatyzujących, włączając wody mineralne i gazowane</t>
  </si>
  <si>
    <t>Napoje owocowe</t>
  </si>
  <si>
    <t>WYROBY TYTONIOWE</t>
  </si>
  <si>
    <t>Wyroby tytoniowe</t>
  </si>
  <si>
    <t>Papierosy z tytoniu lub mieszanek tytoniu z jego namiastkami</t>
  </si>
  <si>
    <t>mln szt.</t>
  </si>
  <si>
    <t>WYROBY TEKSTYLNE</t>
  </si>
  <si>
    <t>Len rozwłókniony, nieprzędziony, pakuły lniane i odpady lniane</t>
  </si>
  <si>
    <t>kg</t>
  </si>
  <si>
    <t>Nici bawełniane do szycia</t>
  </si>
  <si>
    <t>Przędza lniana, niepakowana do sprzedaży detalicznej</t>
  </si>
  <si>
    <t>Przędza z włókien syntetycznych odcinkowych, niepakowana do sprzedaży detalicznej</t>
  </si>
  <si>
    <t>Przędza (inna niż nici do szycia) z włókien sztucznych odcinkowych, niepakowana do sprzedaży detalicznej</t>
  </si>
  <si>
    <t>Nici do szycia z włókien chemicznych</t>
  </si>
  <si>
    <t>Tkaniny ze zgrzebnej wełny lub ze zgrzebnej cienkiej sierści zwierzęcej</t>
  </si>
  <si>
    <t>tys. m²</t>
  </si>
  <si>
    <t>Tkaniny z wełny czesankowej</t>
  </si>
  <si>
    <t>Tkaniny lniane, zawierające co najmniej 85% masy lnu</t>
  </si>
  <si>
    <t>Tkaniny lniane, zawierające mniej niż 85% masy lnu</t>
  </si>
  <si>
    <t>Tkaniny bawełniane z wyłączeniem na gazę medyczną, bandaże i opatrunki</t>
  </si>
  <si>
    <t>Tkaniny z przędzy z syntetycznych i sztucznych włókien ciągłych</t>
  </si>
  <si>
    <t>Tkaniny z okrywą, tkaniny ręcznikowe, włączając frotte i inne specjalne</t>
  </si>
  <si>
    <t>Koce i pledy, z wyłączeniem koców elektrycznych</t>
  </si>
  <si>
    <t>szt.</t>
  </si>
  <si>
    <t>Bielizna pościelowa</t>
  </si>
  <si>
    <t>tys. szt.</t>
  </si>
  <si>
    <t>Bielizna stołowa</t>
  </si>
  <si>
    <t>Wyroby tekstylne toaletowe i kuchenne</t>
  </si>
  <si>
    <t>Worki i torby w rodzaju stosowanych do pakowania towarów</t>
  </si>
  <si>
    <t>Dywany</t>
  </si>
  <si>
    <t>Chodniki</t>
  </si>
  <si>
    <t>Wykładziny</t>
  </si>
  <si>
    <t>ODZIEŻ</t>
  </si>
  <si>
    <t>Żakiety, damskie lub dziewczęce, z dzianin</t>
  </si>
  <si>
    <t>Kostiumy i komplety, damskie lub dziewczęce, z dzianin</t>
  </si>
  <si>
    <t>Garnitury i komplety, męskie lub chłopięce, inne niż z dzianin</t>
  </si>
  <si>
    <t>Marynarki i wdzianka, męskie lub chłopięce, z wyłączeniem dzianych i roboczych</t>
  </si>
  <si>
    <t>Spodnie, ogrodniczki, bryczesy i szorty, męskie lub chłopięce (inne niż z dzianin)</t>
  </si>
  <si>
    <t>Kostiumy i komplety, damskie lub dziewczęce, inne niż z dzianin</t>
  </si>
  <si>
    <t>Żakiety, damskie lub dziewczęce, z wyłączeniem z dzianin</t>
  </si>
  <si>
    <t>Sukienki, spódnice i spódnico-spodnie, damskie lub dziewczęce (inne niż z dzianin)</t>
  </si>
  <si>
    <t>Spodnie, ogrodniczki, bryczesy i szorty, damskie lub dziewczęce (inne niż z dzianin)</t>
  </si>
  <si>
    <t>Koszule męskie lub chłopięce, z dzianin</t>
  </si>
  <si>
    <t>Bluzki, koszule i bluzy koszulowe, z dzianin, damskie lub dziewczęce</t>
  </si>
  <si>
    <t>Koszule męskie lub chłopięce (z wyłączeniem z dzianin)</t>
  </si>
  <si>
    <t>Bluzki, koszule i bluzki koszulowe, damskie lub dziewczęce ( z wyłączeniem z dzianin)</t>
  </si>
  <si>
    <t>Odzież futrzana damska lub dziewczęca</t>
  </si>
  <si>
    <t>Wyroby pończosznicze</t>
  </si>
  <si>
    <t>Rajstopy i trykoty</t>
  </si>
  <si>
    <t>Skarpety</t>
  </si>
  <si>
    <t>tys. par</t>
  </si>
  <si>
    <t>Blezery, pulowery, swetry rozpinane, kamizelki i podobne wyroby dziane</t>
  </si>
  <si>
    <t>SKÓRY I WYROBY ZE SKÓR WYPRAWIONYCH</t>
  </si>
  <si>
    <t>Dwoiny bydlęce</t>
  </si>
  <si>
    <t>Skóry bydlęce wyprawione lub skóry zwierząt jednokopytnych wyprawione, bez sierści</t>
  </si>
  <si>
    <t>Torby bagażowe, torebki ręczne i podobne wyroby z dowolnego materiału</t>
  </si>
  <si>
    <t>Torebki ręczne, skórzane</t>
  </si>
  <si>
    <t>Obuwie ogółem łącznie z gumowym</t>
  </si>
  <si>
    <t>Obuwie z wierzchami wykonanymi ze skóry</t>
  </si>
  <si>
    <t>Obuwie z wierzchami wykonanymi z tkanin, z wyłączeniem obuwia sportowego</t>
  </si>
  <si>
    <t>DREWNO I WYROBY Z DREWNA I KORKA, Z WYŁĄCZENIEM MEBLI; WYROBY ZE SŁOMY I MATERIAŁÓW W RODZAJU STOSOWANYCH DO WYPLATANIA</t>
  </si>
  <si>
    <t>Tarcica iglasta</t>
  </si>
  <si>
    <t>m³</t>
  </si>
  <si>
    <t>Tarcica liściasta</t>
  </si>
  <si>
    <t>Tarcica ogółem</t>
  </si>
  <si>
    <t>Sklejka składająca się wyłącznie z arkuszy drewna</t>
  </si>
  <si>
    <t>Płyty wiórowe i podobne płyty z drewna lub pozostałych materiałów drewnopochodnych</t>
  </si>
  <si>
    <t>Płyty pilśniowe z drewna lub pozostałych materiałów drewnopochodnych</t>
  </si>
  <si>
    <t>Okleiny</t>
  </si>
  <si>
    <t>Połączone płyty podłogowe na podłogi mozaikowe, z drewna</t>
  </si>
  <si>
    <t>m²</t>
  </si>
  <si>
    <t>Połączone płyty podłogowe, z drewna, z wyłączeniem płyt na podłogi mozaikowe</t>
  </si>
  <si>
    <t>Okna i drzwi, ościeżnice i progi, z drewna</t>
  </si>
  <si>
    <t>Okna, okna balkonowe i ich ramy, z drewna</t>
  </si>
  <si>
    <t>Drzwi, ich futryny oraz progi, z drewna</t>
  </si>
  <si>
    <t>Przybory stołowe i kuchenne, z drewna</t>
  </si>
  <si>
    <t>PAPIER I WYROBY Z PAPIERU</t>
  </si>
  <si>
    <t>Masa celulozowa drzewna sodowa lub siarczanowa, inna niż do przerobu chemicznego</t>
  </si>
  <si>
    <t>Masy włókniste drzewne mechaniczne i półchemiczne, masy włókniste z pozostałych surowców celulozowych</t>
  </si>
  <si>
    <t>Papier i tektura</t>
  </si>
  <si>
    <t>Papier gazetowy w zwojach lub arkuszach</t>
  </si>
  <si>
    <t>Pozostały papier i tektura do celów graficznych</t>
  </si>
  <si>
    <t>Papier siarczanowy niepowleczony na warstwę pokryciową tektury falistej niebielony</t>
  </si>
  <si>
    <t>Papier półchemiczny na warstwę pofalowaną</t>
  </si>
  <si>
    <t>Papier pakowy i tektura siarczanowa, niepowleczone pozostałe; papier siarczanowy workowy, krepowany lub marszczony</t>
  </si>
  <si>
    <t>Tektura falista</t>
  </si>
  <si>
    <t>Worki i torby z papieru</t>
  </si>
  <si>
    <t>Papier toaletowy</t>
  </si>
  <si>
    <t>Ręczniki z masy papierniczej, papieru, waty celulozowej lub wstęg z włókien celulozowych</t>
  </si>
  <si>
    <t>KOKS, BRYKIETY I PODOBNE PALIWA STAŁE Z WĘGLA I TORFU ORAZ PRODUKTY RAFINACJI ROPY NAFTOWEJ</t>
  </si>
  <si>
    <t>Koks</t>
  </si>
  <si>
    <t>Koks z węgla kamiennego</t>
  </si>
  <si>
    <t>Koks wielkopiecowy</t>
  </si>
  <si>
    <t>Koks przemysłowo-opałowy</t>
  </si>
  <si>
    <t>Smoła destylowana z węgla kamiennego i brunatnego (lignitu) lub torfu; pozostałe smoły mineralne</t>
  </si>
  <si>
    <t>Benzyna silnikowa, włączając benzynę lotniczą</t>
  </si>
  <si>
    <t>Benzyna silnikowa, bezołowiowa</t>
  </si>
  <si>
    <t>Oleje napędowe</t>
  </si>
  <si>
    <t>Oleje napędowe do szybkoobrotowych silników z zapłonem samoczynnym (paliwo dieslowe)</t>
  </si>
  <si>
    <t>Oleje opałowe</t>
  </si>
  <si>
    <t>Asfalty</t>
  </si>
  <si>
    <t>CHEMIKALIA I WYROBY CHEMICZNE</t>
  </si>
  <si>
    <t>Biel cynkowa</t>
  </si>
  <si>
    <t>Środki barwiące organiczne syntetyczne oraz preparaty na ich bazie, organiczne wyroby syntetyczne w rodzaju stosowanych jako fluorescencyjne środki rozjaśniające lub jako luminofory, laki barwnikowe i preparaty wytworzone na ich bazie</t>
  </si>
  <si>
    <t>Syntetyczne, organiczne substancje garbujące</t>
  </si>
  <si>
    <t>t 100%</t>
  </si>
  <si>
    <t>Pigmenty i preparaty, na bazie ditlenku tytanu, zawierające 80% masy ditlenku tytanu lub więcej, w przeliczeniu na suchą masę</t>
  </si>
  <si>
    <t>t TiO₂</t>
  </si>
  <si>
    <t>Chlor</t>
  </si>
  <si>
    <t>t Cl</t>
  </si>
  <si>
    <t>Kwas solny techniczny</t>
  </si>
  <si>
    <t>t HCl</t>
  </si>
  <si>
    <t>Kwas siarkowy</t>
  </si>
  <si>
    <t>t H₂SO₄</t>
  </si>
  <si>
    <t>Oleum</t>
  </si>
  <si>
    <t>Kwas fosforowy (kwas ortofosforowy)</t>
  </si>
  <si>
    <t>t P₂O₅</t>
  </si>
  <si>
    <t>Wodorotlenek sodu (soda kaustyczna), stały</t>
  </si>
  <si>
    <t>t 96% NaOH</t>
  </si>
  <si>
    <t>t NaOH</t>
  </si>
  <si>
    <t>Wodorotlenek sodu w roztworze wodnym (ług sodowy lub ciekła soda kaustyczna)</t>
  </si>
  <si>
    <t>Siarka, z wyłączeniem siarki sublimowanej, strącanej i koloidalnej</t>
  </si>
  <si>
    <t>Etylen</t>
  </si>
  <si>
    <t>Propen (propylen)</t>
  </si>
  <si>
    <t>Butadien - 1, 3</t>
  </si>
  <si>
    <t>Acetylen techniczny, rozpuszczalny (spawalniczy)</t>
  </si>
  <si>
    <t>Benzen</t>
  </si>
  <si>
    <t>Toluen</t>
  </si>
  <si>
    <t>o-Ksylen</t>
  </si>
  <si>
    <t>p-Ksylen</t>
  </si>
  <si>
    <t>Metanol</t>
  </si>
  <si>
    <t>t CH₃OH</t>
  </si>
  <si>
    <t>Butanol-1 (alkohol n-butylowy)</t>
  </si>
  <si>
    <t>t C₄H₉OH</t>
  </si>
  <si>
    <t>Butanole (inne niż butanol-1)</t>
  </si>
  <si>
    <t>Glicerol (także syntetyczny), z wyłączeniem surowego, wód glicerolowych i ługów glicerolowych</t>
  </si>
  <si>
    <t>Fenol</t>
  </si>
  <si>
    <t>t C₆H₅OH</t>
  </si>
  <si>
    <t>Kwas octowy</t>
  </si>
  <si>
    <t>t CH₃COOH</t>
  </si>
  <si>
    <t>Bezwodnik ftalowy; kwas tereftalowy i jego sole</t>
  </si>
  <si>
    <t>6-heksanolaktam (epsilon-kaprolaktam)</t>
  </si>
  <si>
    <t>Metanal (formaldehyd)</t>
  </si>
  <si>
    <t>Aceton</t>
  </si>
  <si>
    <t>Węgiel drzewny</t>
  </si>
  <si>
    <t>Benzol (benzen)</t>
  </si>
  <si>
    <t>Spirytus rektyfikowany</t>
  </si>
  <si>
    <t>Alkohol etylowy skażony i pozostałe skażone wyroby alkoholowe o dowolnej mocy</t>
  </si>
  <si>
    <t>Nawozy ogółem</t>
  </si>
  <si>
    <t>Kwas azotowy techniczny</t>
  </si>
  <si>
    <t>t HNO₃</t>
  </si>
  <si>
    <t>Amoniak gazowy syntetyczny</t>
  </si>
  <si>
    <t>t NH₃</t>
  </si>
  <si>
    <t>Amoniak ciekły syntetyczny (skroplony)</t>
  </si>
  <si>
    <t>Nawozy azotowe mineralne lub chemiczne</t>
  </si>
  <si>
    <t>Nawozy azotowe łącznie z nawozami wieloskładnikowymi w przeliczeniu na czysty składnik</t>
  </si>
  <si>
    <t>t N</t>
  </si>
  <si>
    <t>Siarczan amonu</t>
  </si>
  <si>
    <t>Azotan amonu (inny niż w tabletkach lub w podobnych postaciach lub w opakowaniach o masie brutto nieprzekraczającej 10 kg)</t>
  </si>
  <si>
    <t>Mieszaniny azotanu amonu z węglanem wapnia, o zawartości azotu nieprzekraczającej 28% masy</t>
  </si>
  <si>
    <t>t 25% N</t>
  </si>
  <si>
    <t>Mieszaniny azotanu amonu z węglanem wapnia, o zawartości azotu przekraczającej 28% masy</t>
  </si>
  <si>
    <t>Nawozy fosforowe, mineralne lub chemiczne</t>
  </si>
  <si>
    <t>Nawozy fosforowe z nawozami wieloskładnikowymi</t>
  </si>
  <si>
    <t>Superfosfaty</t>
  </si>
  <si>
    <t>Nawozy potasowe, mineralne lub chemiczne</t>
  </si>
  <si>
    <t>Nawozy potasowe z nawozami wieloskładnikowymi</t>
  </si>
  <si>
    <t>t K₂O</t>
  </si>
  <si>
    <t>Nawozy wieloskładnikowe, bez azotanu potasu</t>
  </si>
  <si>
    <t>Tworzywa sztuczne</t>
  </si>
  <si>
    <t>Polimery etylenu</t>
  </si>
  <si>
    <t>Polietylen</t>
  </si>
  <si>
    <t>Polimery styrenu w formach podstawowych</t>
  </si>
  <si>
    <t>Polistyren do spienienia, w formach podstawowych</t>
  </si>
  <si>
    <t>Polistyren (inny niż do spienienia), w formach podstawowych</t>
  </si>
  <si>
    <t>Polichlorek winylu, niezmieszany z innymi substancjami, w formach podstawowych</t>
  </si>
  <si>
    <t>Polichlorek winylu nieuplastyczniony, zmieszany z dowolną substancją, w formach podstawowych</t>
  </si>
  <si>
    <t>Polichlorek winylu uplastyczniony, zmieszany z dowolną substancją, w formach podstawowych</t>
  </si>
  <si>
    <t>Żywice epoksydowe, w formach podstawowych</t>
  </si>
  <si>
    <t>Żywice alkidowe, w formach podstawowych</t>
  </si>
  <si>
    <t>Polimery propylenu lub innych alkenów, w formach podstawowych</t>
  </si>
  <si>
    <t>Polipropylen, w formach podstawowych</t>
  </si>
  <si>
    <t>Polimery akrylu w formach podstawowych</t>
  </si>
  <si>
    <t>Poliamidy</t>
  </si>
  <si>
    <t>Celuloza i jej pochodne chemiczne, w formach podstawowych</t>
  </si>
  <si>
    <t>Kauczuk syntetyczny</t>
  </si>
  <si>
    <t>Lateks syntetyczny</t>
  </si>
  <si>
    <t>Pestycydy</t>
  </si>
  <si>
    <t>Farby, lakiery i podobne środki pokrywające, farba drukarska, gotowe sykatywy i masy uszczelniające</t>
  </si>
  <si>
    <t>Farby i pokosty (włącznie z emaliami i lakierami), na bazie polimerów akrylowych lub winylowych, w środowisku wodnym</t>
  </si>
  <si>
    <t>Farby i pokosty (łącznie z emaliami i lakierami), na bazie poliestrów, rozproszone lub rozpuszczone w środowisku niewodnym, o masie rozpuszczalnika przekraczającej 50% masy roztworu</t>
  </si>
  <si>
    <t>Farby i pokosty (włącznie z emaliami i lakierami), na bazie poliestrów, rozproszone lub rozpuszczone w środowisku niewodnym, pozostałe</t>
  </si>
  <si>
    <t>Farby i pokosty (włącznie z emaliami i lakierami), na bazie polimerów akrylowych lub winylowych, rozproszone lub rozpuszczone w środowisku niewodnym, o masie rozpuszczalnika przekraczającej 50% masy roztworu</t>
  </si>
  <si>
    <t>Farby i pokosty (włącznie z emaliami i lakierami), na bazie polimerów akrylowych lub winylowych, rozproszone lub rozpuszczone w środowisku niewodnym, pozostałe</t>
  </si>
  <si>
    <t>Szkliste emalie i glazury, pobiałki (masy lejne) i podobne preparaty, w rodzaju stosowanych w przemyśle ceramicznym, emalierskim i szklarskim</t>
  </si>
  <si>
    <t>Materiały ciekłe do wytwarzania połysku i podobne preparaty, fryta szklana i pozostałe szkło, w postaci proszku, granulek lub płatków</t>
  </si>
  <si>
    <t>Farby suche</t>
  </si>
  <si>
    <t>Preparaty powierzchniowe nieogniotrwałe, na fasady, ściany wewnętrzne, sufity itp.</t>
  </si>
  <si>
    <t>Rozpuszczalniki i rozcieńczalniki organiczne złożone, gotowe zmywacze farb i lakierów, na bazie octanu butylu</t>
  </si>
  <si>
    <t>Rozpuszczalniki i rozcieńczalniki organiczne złożone, pozostałe</t>
  </si>
  <si>
    <t>Mydło i produkty organiczne powierzchniowo czynne i preparaty stosowane jako mydło</t>
  </si>
  <si>
    <t>Preparaty do prania i czyszczenia, nawet zawierające mydło, pakowane do sprzedaży detalicznej</t>
  </si>
  <si>
    <t>Preparaty powierzchniowo czynne, nawet zawierające mydło, niepakowane do sprzedaży detalicznej</t>
  </si>
  <si>
    <t>Kosmetyki do pielęgnacji włosów</t>
  </si>
  <si>
    <t>Zapałki</t>
  </si>
  <si>
    <t>Kleje na bazie kauczuku naturalnego</t>
  </si>
  <si>
    <t>Kleje na bazie żywic syntetycznych</t>
  </si>
  <si>
    <t>Kleje na bazie kauczuku syntetycznego</t>
  </si>
  <si>
    <t>Mieszaniny substancji zapachowych stosowane w przemyśle spożywczym i do produkcji napojów</t>
  </si>
  <si>
    <t>Środki przeciwstukowe; dodatki do olejów mineralnych i podobnych wyrobów</t>
  </si>
  <si>
    <t>Środki zapobiegające zamarzaniu i płyny przeciwoblodzeniowe</t>
  </si>
  <si>
    <t>Węgiel aktywny</t>
  </si>
  <si>
    <t>Włókna chemiczne</t>
  </si>
  <si>
    <t>Włókna syntetyczne</t>
  </si>
  <si>
    <t>Kabel i włókna cięte syntetyczne, niezgrzeblone, nieczesane, z poliestrów</t>
  </si>
  <si>
    <t>PODSTAWOWE SUBSTANCJE FARMACEUTYCZNE, LEKI I POZOSTAŁE WYROBY FARMACEUTYCZNE</t>
  </si>
  <si>
    <t>Sulfonamidy</t>
  </si>
  <si>
    <t>Prowitaminy, witaminy i ich pochodne</t>
  </si>
  <si>
    <t>Zioła paczkowane farmaceutyczne</t>
  </si>
  <si>
    <t>WYROBY Z GUMY I TWORZYW SZTUCZNYCH</t>
  </si>
  <si>
    <t>Wyroby z gumy</t>
  </si>
  <si>
    <t>Opony i dętki z gumy</t>
  </si>
  <si>
    <t>Opony ogółem, bez bieżnikowanych</t>
  </si>
  <si>
    <t>Opony do pojazdów samochodowych osobowych</t>
  </si>
  <si>
    <t>Opony radialne</t>
  </si>
  <si>
    <t>Opony do pojazdów samochodowych ciężarowych i autobusów</t>
  </si>
  <si>
    <t>Opony do pojazdów i maszyn rolniczych, leśnych (w tym do ciągników)</t>
  </si>
  <si>
    <t>Opony bieżnikowane z gumy</t>
  </si>
  <si>
    <t>Przewody, rury i węże z gumy innej niż ebonit</t>
  </si>
  <si>
    <t>Przewody giętkie wzmocnione metalem, z gumy (z wyjątkiem ebonitowych)</t>
  </si>
  <si>
    <t>km</t>
  </si>
  <si>
    <t>Pasy lub taśmy przenośnikowe, z gumy</t>
  </si>
  <si>
    <t>Tkaniny gumowane, z wyłączeniem tkaniny kordowej na opony</t>
  </si>
  <si>
    <t>Rury, przewody i węże, sztywne, z polimerów etylenu</t>
  </si>
  <si>
    <t>Rury, przewody i węże, sztywne, z polimerów chlorku winylu</t>
  </si>
  <si>
    <t>Wyposażenie z tworzyw sztucznych do rur, przewodów i węży</t>
  </si>
  <si>
    <t>Worki i torby, włączając stożki, z polimerów etylenu</t>
  </si>
  <si>
    <t>Pudełka, skrzynki, klatki i podobne artykuły z tworzyw sztucznych</t>
  </si>
  <si>
    <t>Wyroby z tworzyw sztucznych dla budownictwa</t>
  </si>
  <si>
    <t>Pokrycia podłogowe (wykładziny), ścienne lub sufitowe z tworzyw sztucznych w rolkach lub w formie płytek (nie obejmuje linoleum)</t>
  </si>
  <si>
    <t>Pokrycia podłogowe (wykładziny) z polimerów chlorku winylu</t>
  </si>
  <si>
    <t>Wanny z tworzyw sztucznych</t>
  </si>
  <si>
    <t>Umywalki z tworzyw sztucznych</t>
  </si>
  <si>
    <t>Okna z tworzyw sztucznych dla budownictwa</t>
  </si>
  <si>
    <t>Drzwi z tworzyw sztucznych dla budownictwa</t>
  </si>
  <si>
    <t>WYROBY Z POZOSTAŁYCH MINERALNYCH SUROWCÓW NIEMETALICZNYCH</t>
  </si>
  <si>
    <t>Szyby (tafle szklane) niezbrojone ze szkła lanego i walcowanego, nawet z warstwą pochłaniającą, odblaskową lub przeciwodblaskową, ale nieobrobione inaczej</t>
  </si>
  <si>
    <t>Szyby (tafle szklane) zbrojone lub kształtki ze szkła lanego i walcowanego, nawet z warstwą pochłaniającą, odblaskową lub przeciwodblaskową, ale nieobrobione inaczej</t>
  </si>
  <si>
    <t>Szkło typu "float" i szkło powierzchniowo zagruntowane lub polerowane, w arkuszach, lecz niepoddane innej obróbce</t>
  </si>
  <si>
    <t>Szkło bezpieczne hartowane, o wymiarach i kształtach odpowiednich do wbudowania w pojazdach, statkach powietrznych, kosmicznych lub wodnych</t>
  </si>
  <si>
    <t>Szkło bezpieczne wielowarstwowe, o wymiarach i kształtach odpowiednich do wbudowania w pojazdach, statkach powietrznych, kosmicznych lub wodnych</t>
  </si>
  <si>
    <t>Szyby zespolone jednokomorowe</t>
  </si>
  <si>
    <t>Szyby zespolone wielokomorowe</t>
  </si>
  <si>
    <t>Butelki ze szkła bezbarwnego o pojemności nominalnej mniejszej niż 2,5 litra do napojów i artykułów spożywczych (z wyłączeniem butelek pokrytych skórą wyprawioną lub wtórną, butelek do karmienia niemowląt)</t>
  </si>
  <si>
    <t>Butelki ze szkła barwnego o pojemności nominalnej mniejszej niż 2,5 litra do napojów i artykułów spożywczych (z wyłączeniem butelek pokrytych skórą wyprawioną lub wtórną oraz butelek do karmienia niemowląt)</t>
  </si>
  <si>
    <t>Szklanki i kieliszki, z wyłączeniem szklano-ceramicznych</t>
  </si>
  <si>
    <t>Szklanki i kieliszki (w tym szklanki i kieliszki na nóżce), ze szkła ołowiowego nabieranego mechanicznie, z wyłączeniem wykonanych z tworzywa szklano-ceramicznego</t>
  </si>
  <si>
    <t>Szklanki i kieliszki ze szkła hartowanego oraz niehartowanego nabieranego mechanicznie, z wyłączeniem ze szkła ołowiowego</t>
  </si>
  <si>
    <t>Wyroby stołowe lub kuchenne, ze szkła nabieranego ręcznie (z wyłączeniem z tworzywa szklano-ceramicznego, ze szkła ołowiowego oraz szklanek i kieliszków)</t>
  </si>
  <si>
    <t>Maty z włókna szklanego (włączając z waty szklanej)</t>
  </si>
  <si>
    <t>Filce, materace i płyty, z włókna szklanego nietkanego</t>
  </si>
  <si>
    <t>Osłony szklane otwarte oraz ich szklane części do lamp elektrycznych, lamp elektronopromieniowych i podobnych</t>
  </si>
  <si>
    <t>Ogniotrwałe ceramiczne wyroby konstrukcyjne zawierające więcej niż 50% MgO, CaO, Cr2O3, włączając cegły, płyty, bloki (z wyłączeniem wyrobów z krzemionkowych skał kopalnych lub ziem krzemionkowych, przewodów rurowych)</t>
  </si>
  <si>
    <t>Cegły, bloki, płytki i podobne ogniotrwałe ceramiczne wyroby konstrukcyjne zawierające więcej niż 7% ale mniej niż 45% masy tlenku glinu (Al2O3), ale zawierające więcej niż 50% masy w połączeniu z krzemionką (SiO2)</t>
  </si>
  <si>
    <t>Płytki ceramiczne i płyty chodnikowe</t>
  </si>
  <si>
    <t>Płyty chodnikowe, kafle lub płytki ścienne, szkliwione, kamionkowe, o powierzchni czołowej przekraczającej 90 cm2</t>
  </si>
  <si>
    <t>Płyty chodnikowe, kafle lub płytki ścienne, szkliwione, z ceramiki porowatej lub szlachetnej, o powierzchni czołowej przekraczającej 90 cm2</t>
  </si>
  <si>
    <t>Płyty chodnikowe, kafle lub płytki ścienne, ceramiczne, szkliwione, o powierzchni czołowej nieprzekraczającej 90 cm2 (z wyłączeniem płytek podwójnych typu "Spaltplatten", wyrobów kamionkowych, z ceramiki porowatej lub szlachetnej)</t>
  </si>
  <si>
    <t>Cegła ogółem</t>
  </si>
  <si>
    <t>tys. ceg</t>
  </si>
  <si>
    <t>Cegły budowlane, ceramiczne (z wyłączeniem wyrobów ogniotrwałych oraz z krzemionkowych skał kopalnych lub ziem krzemionkowych)</t>
  </si>
  <si>
    <t>Cegła wypalana z gliny</t>
  </si>
  <si>
    <t>Pustaki ścienne ceramiczne</t>
  </si>
  <si>
    <t>Pustaki stropowe, ceramiczne</t>
  </si>
  <si>
    <t>Dachówki i podobne elementy dachowe, ceramiczne i nieogniotrwałe</t>
  </si>
  <si>
    <t>Wyroby konstrukcyjne ceramiczne, nieogniotrwałe (włączając nasady kominowe, osłony, wykładziny kominowe i bloki kanału dymowego, ozdoby architektoniczne, kratki wentylatorów, łaty gliniane, z wyłączeniem rur, rynien ściekowych itp.)</t>
  </si>
  <si>
    <t>Rury, przewody, rynny i osprzęt do rur, ceramiczne</t>
  </si>
  <si>
    <t>Rurki drenarskie, ceramiczne</t>
  </si>
  <si>
    <t>Zastawy stołowe i naczynia kuchenne z porcelany, również chińskiej (z wyłączeniem aparatów elektrotermicznych, młynków do kawy lub przypraw o metalowych elementach trących)</t>
  </si>
  <si>
    <t>Zastawy stołowe, naczynia kuchenne i pozostałe artykuły gospodarstwa domowego i toaletowe, z kamionki</t>
  </si>
  <si>
    <t>Wyroby sanitarne ceramiczne</t>
  </si>
  <si>
    <t>Wyroby sanitarne z porcelany, również chińskiej</t>
  </si>
  <si>
    <t>Izolatory elektryczne, ceramiczne, z wyłączeniem elementów izolacyjnych</t>
  </si>
  <si>
    <t>Klinkier cementowy</t>
  </si>
  <si>
    <t>Cement portlandzki, cement glinowy, cement żużlowy i podobne rodzaje cementu hydraulicznego</t>
  </si>
  <si>
    <t>Cement portlandzki</t>
  </si>
  <si>
    <t>Cementy hydrauliczne, pozostałe</t>
  </si>
  <si>
    <t>Wapno palone, gaszone i hydrauliczne</t>
  </si>
  <si>
    <t>Wapno gaszone</t>
  </si>
  <si>
    <t>Spoiwa gipsowe gotowe (włączając do stosowania w budownictwie, do klejenia tkanin lub wyrównywania powierzchni papieru, do stosowania w stomatologii)</t>
  </si>
  <si>
    <t>Dolomit kalcynowany lub spiekany włączając dolomit wstępnie obrobiony lub tylko pocięty na prostokątne lub kwadratowe bloki lub płyty</t>
  </si>
  <si>
    <t>Bloki ścienne z betonu lekkiego (z wyłączeniem bloków ściennych z betonu zwykłego)</t>
  </si>
  <si>
    <t>Elementy ścienne silikatowe</t>
  </si>
  <si>
    <t>Cegła silikatowa</t>
  </si>
  <si>
    <t>Płyty chodnikowe i podobne wyroby z betonu</t>
  </si>
  <si>
    <t>Prefabrykowane elementy konstrukcyjne dla budownictwa lub inżynierii lądowej lub wodnej z cementu, betonu lub ze sztucznego kamienia</t>
  </si>
  <si>
    <t>Bloki i płyty ścienne gipsowe</t>
  </si>
  <si>
    <t>Masa betonowa prefabrykowana (beton gotowy do wylania)</t>
  </si>
  <si>
    <t>Zaprawy murarskie</t>
  </si>
  <si>
    <t>Wyroby ścierne</t>
  </si>
  <si>
    <t>Papa</t>
  </si>
  <si>
    <t>Wyroby izolacji termicznej z wełny mineralnej</t>
  </si>
  <si>
    <t>METALE</t>
  </si>
  <si>
    <t>Surówka żelaza</t>
  </si>
  <si>
    <t>Żelazokrzem</t>
  </si>
  <si>
    <t>Stal surowa</t>
  </si>
  <si>
    <t>Stal konwertorowa</t>
  </si>
  <si>
    <t>Stal elektryczna</t>
  </si>
  <si>
    <t>Wyroby walcowane na gorąco (bez półwyrobów)</t>
  </si>
  <si>
    <t>Wyroby płaskie ogółem</t>
  </si>
  <si>
    <t>Blachy grube i cienkie</t>
  </si>
  <si>
    <t>Wyroby długie</t>
  </si>
  <si>
    <t>Blachy walcowane na zimno</t>
  </si>
  <si>
    <t>Blachy ocynkowane</t>
  </si>
  <si>
    <t>Pręty i płaskowniki</t>
  </si>
  <si>
    <t>Sztaby i pręty walcowane na gorąco</t>
  </si>
  <si>
    <t>Szyny stalowe</t>
  </si>
  <si>
    <t>Rury stalowe bez szwu</t>
  </si>
  <si>
    <t>Rury stalowe ze szwem</t>
  </si>
  <si>
    <t>Rury stalowe</t>
  </si>
  <si>
    <t>Profile formowane na zimno, otrzymywane z wyrobów płaskich ze stali niestopowej, niepokryte</t>
  </si>
  <si>
    <t>Profile formowane na zimno, otrzymywane z wyrobów płaskich ze stali niestopowej, pokryte cynkiem</t>
  </si>
  <si>
    <t>Drut ciągniony na zimno, ze stali niestopowej</t>
  </si>
  <si>
    <t>Drut ze stali nierdzewnej lub innej stali stopowej</t>
  </si>
  <si>
    <t>Srebro o wysokiej czystości</t>
  </si>
  <si>
    <t>Aluminium nieobrobione, technicznie czyste - hutnicze</t>
  </si>
  <si>
    <t>Aluminium nieobrobione plastycznie technicznie czyste - do odtleniania stali</t>
  </si>
  <si>
    <t>Ołów rafinowany, nieobrobiony plastycznie</t>
  </si>
  <si>
    <t>Cynk technicznie czysty, niestopowy</t>
  </si>
  <si>
    <t>Miedź konwertorowa z surowców pierwotnych</t>
  </si>
  <si>
    <t>Miedź konwertorowa z surowców wtórnych</t>
  </si>
  <si>
    <t>Miedź rafinowana nieobrobiona plastycznie, niestopowa</t>
  </si>
  <si>
    <t>Katody i części katod z miedzi rafinowanej</t>
  </si>
  <si>
    <t>WYROBY METALOWE GOTOWE, Z WYŁĄCZENIEM MASZYN I URZĄDZEŃ</t>
  </si>
  <si>
    <t>Drzwi i ich futryny, progi drzwiowe, stalowe (drzwi z futryną lub bez lub z progiem traktowane są jako jedna sztuka)</t>
  </si>
  <si>
    <t>Okna, świetliki i iluminatory stalowe (nieszklone) i ich futryny</t>
  </si>
  <si>
    <t>Drzwi i ich futryny oraz progi drzwiowe aluminiowe</t>
  </si>
  <si>
    <t>Okna, świetliki i iluminatory, aluminiowe (w tym: okna nieoszklone) i ich futryny</t>
  </si>
  <si>
    <t>Grzejniki centralnego ogrzewania i ich części, z żeliwa</t>
  </si>
  <si>
    <t>Grzejniki nieelektryczne i ich części, ze stali</t>
  </si>
  <si>
    <t>Pojemniki na sprężony lub skroplony gaz, z metalu</t>
  </si>
  <si>
    <t>Sztućce łącznie z nożami (w tym z nożami do masła i do ryb)</t>
  </si>
  <si>
    <t>Narzędzia ręczne w rodzaju stosowanych w rolnictwie, ogrodnictwie lub leśnictwie</t>
  </si>
  <si>
    <t>Formy do szkła</t>
  </si>
  <si>
    <t>Formy typu wtryskowego lub tłocznego do gumy lub tworzyw sztucznych</t>
  </si>
  <si>
    <t>Cysterny, beczki, bębny, z wyłączeniem przeznaczonych do przechowywania gazu, z żeliwa lub stali o pojemności równej lub większej niż 50 l i mniejszej niż 300 l</t>
  </si>
  <si>
    <t>Opakowania konserwowe lekkie z blachy ocynowanej białej do żywności o pojemności mniejszej niż 50 l</t>
  </si>
  <si>
    <t>Puszki inne niż do konserwowania żywności i napojów, z żeliwa lub stali, o pojemności mniejszej niż 50 l</t>
  </si>
  <si>
    <t>Wyroby z drutu, łańcuchy i sprężyny</t>
  </si>
  <si>
    <t>Przewody gołe</t>
  </si>
  <si>
    <t>Skrętki, kable, taśmy plecione i podobne, z miedzi, nieizolowane elektrycznie</t>
  </si>
  <si>
    <t>Skrętki, kable, taśmy plecione i podobne, z aluminium, nieizolowane elektrycznie</t>
  </si>
  <si>
    <t>Kraty, siatki, ogrodzenia i sita druciane</t>
  </si>
  <si>
    <t>Gwoździe łącznie z pinezkami kreślarskimi</t>
  </si>
  <si>
    <t>Sprężyny (bez resorów)</t>
  </si>
  <si>
    <t>Łańcuchy z ogniwami spawanymi (z wyłączeniem rozpórkowych), z żeliwa lub stali</t>
  </si>
  <si>
    <t>Elementy złączne z żeliwa lub stali gwintowane, gdzie indziej niesklasyfikowane</t>
  </si>
  <si>
    <t>Elementy złączne z żeliwa lub stali, niegwintowane, gdzie indziej niesklasyfikowane</t>
  </si>
  <si>
    <t>Elementy złączne, śruby i wkręty miedziane, niegwintowane i gwintowane</t>
  </si>
  <si>
    <t>Zlewy i umywalki, ze stali nierdzewnej</t>
  </si>
  <si>
    <t>Wanny blaszane emaliowane</t>
  </si>
  <si>
    <t>Wyroby sanitarne i części wyrobów sanitarnych, z żeliwa lub stali</t>
  </si>
  <si>
    <t>Wyroby stołowe, kuchenne lub do użytku w gospodarstwie domowym, ze stali, emaliowane</t>
  </si>
  <si>
    <t>Naczynia i wiadra ocynkowane z blachy stalowej, włączając lakierowane lub malowane</t>
  </si>
  <si>
    <t>Koła i obręcze, kute lub tłoczone ze stali</t>
  </si>
  <si>
    <t>KOMPUTERY, WYROBY ELEKTRONICZNE I OPTYCZNE</t>
  </si>
  <si>
    <t>Tyrystory, diaki i triaki, z wyłączeniem światłoczułych</t>
  </si>
  <si>
    <t>Obwody scalone i mikromoduły elektroniczne</t>
  </si>
  <si>
    <t>Maszyny cyfrowe do automatycznego przetwarzania danych</t>
  </si>
  <si>
    <t>Aparaty telefoniczne (z wyłączeniem aparatów do sieci komórkowych)</t>
  </si>
  <si>
    <t>Anteny zewnętrzne i wewnętrzne (z wyjątkiem satelitarnych)</t>
  </si>
  <si>
    <t>Urządzenia alarmowe przeciwwłamaniowe i przeciwpożarowe</t>
  </si>
  <si>
    <t>Odbiorniki radiowe łącznie z zestawami</t>
  </si>
  <si>
    <t>Odbiorniki telewizyjne w tym monitory ekranowe z wyjątkiem stosowanych do komputerów</t>
  </si>
  <si>
    <t>Odbiorniki telewizyjne z ekranem płaskim, w tym monitory ekranowe</t>
  </si>
  <si>
    <t>Głośniki pojedyncze i zestawy głośnikowe</t>
  </si>
  <si>
    <t>Gazomierze</t>
  </si>
  <si>
    <t>Wodomierze</t>
  </si>
  <si>
    <t>Liczniki energii elektrycznej</t>
  </si>
  <si>
    <t>Zegary z mechanizmami zegarkowymi</t>
  </si>
  <si>
    <t>URZĄDZENIA ELEKTRYCZNE I NIEELEKTRYCZNY SPRZĘT GOSPODARSTWA DOMOWEGO</t>
  </si>
  <si>
    <t>Silniki elektryczne i prądnice (z wyłączeniem silników trakcyjnych)</t>
  </si>
  <si>
    <t>MW</t>
  </si>
  <si>
    <t>Silniki prądu przemiennego (z wyłączeniem silników trakcyjnych)</t>
  </si>
  <si>
    <t>Silniki jednofazowe</t>
  </si>
  <si>
    <t>kW</t>
  </si>
  <si>
    <t>Silniki prądu przemiennego wielofazowe (z wyłączeniem silników trakcyjnych)</t>
  </si>
  <si>
    <t>Prądnice prądu przemiennego</t>
  </si>
  <si>
    <t>Zespoły prądotwórcze z silnikami tłokowymi wewnętrznego spalania</t>
  </si>
  <si>
    <t>Transformatory z ciekłym dielektrykiem</t>
  </si>
  <si>
    <t>MVA</t>
  </si>
  <si>
    <t>Transformatory</t>
  </si>
  <si>
    <t>Transformatory z chłodzeniem powietrznym (suche)</t>
  </si>
  <si>
    <t>Urządzenia sterujące z programowalną pamięcią, do napięć nieprzekraczających 1 kV</t>
  </si>
  <si>
    <t>Ogniwa i baterie galwaniczne</t>
  </si>
  <si>
    <t>Akumulatory kwasowo-ołowiowe</t>
  </si>
  <si>
    <t>Akumulatory kwasowo-ołowiowe do uruchamiania silników tłokowych samochodowych</t>
  </si>
  <si>
    <t>Kable światłowodowe</t>
  </si>
  <si>
    <t>Druty i przewody izolowane</t>
  </si>
  <si>
    <t>Kable koncentryczne</t>
  </si>
  <si>
    <t>Przewody elektryczne stosowane w telekomunikacji</t>
  </si>
  <si>
    <t>Kable elektroenergetyczne</t>
  </si>
  <si>
    <t>Żarówki żarowe do ogólnych celów oświetleniowych</t>
  </si>
  <si>
    <t>Zamrażarki</t>
  </si>
  <si>
    <t>Chłodziarki i zamrażarki (łącznie z chłodziarko-zamrażarkami) typu domowego</t>
  </si>
  <si>
    <t>Zmywarki do naczyń typu domowego</t>
  </si>
  <si>
    <t>Pralki włączając pralko-suszarki typu domowego</t>
  </si>
  <si>
    <t>Pralki automatyczne (włączając pralko-suszarki) typu domowego</t>
  </si>
  <si>
    <t>Odkurzacze typu domowego</t>
  </si>
  <si>
    <t>Miksery, malaksery, roboty kuchenne</t>
  </si>
  <si>
    <t>Czajniki elektryczne</t>
  </si>
  <si>
    <t>Ogrzewacze wody elektryczne o działaniu natychmiastowym (ogrzewacze przepływowe)</t>
  </si>
  <si>
    <t>Elektryczne grzejniki akumulacyjne</t>
  </si>
  <si>
    <t>Elektryczne kuchenki domowe, włączając kuchenki gazowo - elektryczne</t>
  </si>
  <si>
    <t>Elektryczne płyty domowe do wbudowania</t>
  </si>
  <si>
    <t>Elektryczne domowe piekarniki do wbudowania</t>
  </si>
  <si>
    <t>Kuchnie i podgrzewacze płytowe na gaz i paliwo stałe z żeliwa lub stali</t>
  </si>
  <si>
    <t>Kuchnie gazowe z piekarnikiem</t>
  </si>
  <si>
    <t>Piece grzewcze</t>
  </si>
  <si>
    <t>Kondensatory stałe</t>
  </si>
  <si>
    <t>Rezystory stałe</t>
  </si>
  <si>
    <t>MASZYNY I URZĄDZENIA, GDZIE INDZIEJ NIESKLASYFIKOWANE</t>
  </si>
  <si>
    <t>Silniki spalinowe wewnętrznego spalania, tłokowe z zapłonem samoczynnym</t>
  </si>
  <si>
    <t>Silniki z zapłonem samoczynnym do użytku przemysłowego</t>
  </si>
  <si>
    <t>Silniki okrętowe</t>
  </si>
  <si>
    <t>Pompy ręczne inne niż wyposażone w urządzenia pomiarowe</t>
  </si>
  <si>
    <t>Pompy obrotowe wyporowe do cieczy</t>
  </si>
  <si>
    <t>Hydrofory</t>
  </si>
  <si>
    <t>Pompy próżniowe</t>
  </si>
  <si>
    <t>Sprężarki tłokowe</t>
  </si>
  <si>
    <t>Sprężarki wyporowe-rotacyjne</t>
  </si>
  <si>
    <t>Baterie umywalkowe mosiężne</t>
  </si>
  <si>
    <t>Baterie zlewozmywakowe mosiężne</t>
  </si>
  <si>
    <t>Baterie wannowe mosiężne</t>
  </si>
  <si>
    <t>Baterie natryskowe mosiężne</t>
  </si>
  <si>
    <t>Armatura do zlewozmywaków, umywalek, bidetów, spłuczek ustępowych, wanien, z wyłączeniem baterii</t>
  </si>
  <si>
    <t>Zawory do automatyki chłodniczej i grzewczej</t>
  </si>
  <si>
    <t>Łożyska kulkowe</t>
  </si>
  <si>
    <t>Łożyska toczne</t>
  </si>
  <si>
    <t>Łożyska stożkowe, włączając bez pierścienia wewnętrznego lub zewnętrznego</t>
  </si>
  <si>
    <t>Piece, maszyny i urządzenia do procesów chemicznych</t>
  </si>
  <si>
    <t>Elektryczne piece piekarnicze i do biszkoptów</t>
  </si>
  <si>
    <t>Wielokrążki i wciągniki, napędzane silnikiem elektrycznym, z wyłączeniem do podnoszenia pojazdów</t>
  </si>
  <si>
    <t>Suwnice na podporach stałych</t>
  </si>
  <si>
    <t>Dźwigi (m.in. osobowe, towarowe)</t>
  </si>
  <si>
    <t>Kasy rejestrujące</t>
  </si>
  <si>
    <t>Wymienniki ciepła dla przemysłu chemicznego</t>
  </si>
  <si>
    <t>Klimatyzatory zawierające agregat chłodniczy, z wyłączeniem samochodowych, ściennych i okiennych</t>
  </si>
  <si>
    <t>Witryny i lady chłodnicze oraz urządzenia chłodnicze</t>
  </si>
  <si>
    <t>Witryny i lady chłodnicze z wbudowanym agregatem chłodniczym lub parownikiem, do przechowywania zamrożonej żywności</t>
  </si>
  <si>
    <t>Wyposażenie chłodnicze pozostałe (np. dla środków transportu, kontenerów)</t>
  </si>
  <si>
    <t>Ciągniki rolnicze, z wyłączeniem kierowanych przez pieszego</t>
  </si>
  <si>
    <t>Ciągniki rolnicze o mocy silnika powyżej 59 kW</t>
  </si>
  <si>
    <t>Pługi</t>
  </si>
  <si>
    <t>Spulchniarki i kultywatory</t>
  </si>
  <si>
    <t>Kultywatory</t>
  </si>
  <si>
    <t>Brony talerzowe</t>
  </si>
  <si>
    <t>Brony z wyłączeniem bron talerzowych</t>
  </si>
  <si>
    <t>Glebogryzarki</t>
  </si>
  <si>
    <t>Siewniki polowe</t>
  </si>
  <si>
    <t>Sadzarki do ziemniaków</t>
  </si>
  <si>
    <t>Rozsiewacze nawozów mineralnych lub chemicznych</t>
  </si>
  <si>
    <t>Kosiarki ciągnikowe zawieszane</t>
  </si>
  <si>
    <t>Kopaczki do ziemniaków</t>
  </si>
  <si>
    <t>Kombajny zbożowe (żniwno-omłotowe)</t>
  </si>
  <si>
    <t>Opryskiwacze i opylacze ciągnikowe</t>
  </si>
  <si>
    <t>Opryskiwacze polowe ciągnikowe</t>
  </si>
  <si>
    <t>Opryskiwacze leśne i sadownicze, ciągnikowe przyczepiane</t>
  </si>
  <si>
    <t>Parniki węglowe</t>
  </si>
  <si>
    <t>Sieczkarnie do cięcia zielonek i słomy</t>
  </si>
  <si>
    <t>Obrabiarki ze sterowaniem numerycznym</t>
  </si>
  <si>
    <t>Tokarki do usuwania metalu</t>
  </si>
  <si>
    <t>Obrabiarki do wiercenia, wytaczania lub frezowania metalu</t>
  </si>
  <si>
    <t>Frezarki wspornikowe do metalu sterowane numerycznie, z wyłączeniem wiertarko-frezarek</t>
  </si>
  <si>
    <t>Frezarki</t>
  </si>
  <si>
    <t>Szlifierki do metali</t>
  </si>
  <si>
    <t>Obrabiarki do wygładzania ostrych krawędzi, ostrzenia, szlifowania lub do innego rodzaju operacji wykończeniowych w obróbce metali oraz do strugania wzdłużnego, piłowania, odcinania</t>
  </si>
  <si>
    <t>Maszyny do obróbki plastycznej</t>
  </si>
  <si>
    <t>Wlewnice</t>
  </si>
  <si>
    <t>Wyciągi i przenośniki zaprojektowane do pracy pod powierzchnią ziemi</t>
  </si>
  <si>
    <t>Maszyny do wierceń lub głębienia szybów</t>
  </si>
  <si>
    <t>Maszyny i urządzenia do robót budowlanych, drogowych i melioracyjnych</t>
  </si>
  <si>
    <t>Maszyny do sortowania, przesiewania, płukania, zgniatania, mieszania ziemi, kamieni, rud i substancji mineralnych</t>
  </si>
  <si>
    <t>Maszyny do sortowania, klasyfikowania, rozdzielania, mielenia lub mieszania, stosowane w górnictwie</t>
  </si>
  <si>
    <t>Betoniarki z wyłączeniem drogowych</t>
  </si>
  <si>
    <t>Suszarnie do produktów rolniczych</t>
  </si>
  <si>
    <t>Urządzenia do produkcji cukru</t>
  </si>
  <si>
    <t>Urządzenia przemysłowe browarnicze</t>
  </si>
  <si>
    <t>Urządzenia do przyrządzania mięsa, z wyjątkiem drobiowego</t>
  </si>
  <si>
    <t>Urządzenia czyszczące i sortujące do nasion, ziarna lub suszonych warzyw strączkowych</t>
  </si>
  <si>
    <t>Maszyny do produkcji papieru i tektury, z wyłączeniem ich części</t>
  </si>
  <si>
    <t>POJAZDY SAMOCHODOWE (Z WYŁĄCZENIEM MOTOCYKLI), PRZYCZEPY I NACZEPY</t>
  </si>
  <si>
    <t>Silniki spalinowe używane do pojazdów mechanicznych</t>
  </si>
  <si>
    <t>Samochody osobowe</t>
  </si>
  <si>
    <t>Samochody osobowe z silnikiem o pojemności skokowej 1000 cm3 i mniej</t>
  </si>
  <si>
    <t>Samochody osobowe z silnikiem o pojemności skokowej 1001 - 1500 cm3</t>
  </si>
  <si>
    <t>Samochody osobowe z silnikiem o pojemności skokowej powyżej 1500 cm3</t>
  </si>
  <si>
    <t>Samochody ciężarowe</t>
  </si>
  <si>
    <t>Ciągniki drogowe do ciągnięcia naczep</t>
  </si>
  <si>
    <t>Pojazdy samochodowe specjalnego przeznaczenia</t>
  </si>
  <si>
    <t>Kontenery specjalne przystosowane do przewozu różnymi środkami transportu</t>
  </si>
  <si>
    <t>Naczepy i przyczepy samochodowe transportowe</t>
  </si>
  <si>
    <t>PRODUKCJA POZOSTAŁEGO SPRZĘTU TRANSPORTOWEGO</t>
  </si>
  <si>
    <t>Statki morskie</t>
  </si>
  <si>
    <t>GT</t>
  </si>
  <si>
    <t>Łodzie wypoczynkowe i sportowe (żaglowe i motorowe)</t>
  </si>
  <si>
    <t>Silniki spalinowe tłokowe wewnętrznego spalania o zapłonie iskrowym, lotnicze</t>
  </si>
  <si>
    <t>Samoloty stosowane w lotnictwie cywilnym i parapublicznym, sportowe i szkolne</t>
  </si>
  <si>
    <t>Rowery</t>
  </si>
  <si>
    <t>Rowery górskie</t>
  </si>
  <si>
    <t>MEBLE</t>
  </si>
  <si>
    <t>Meble do siedzenia przekształcalne w miejsca do spania, z wyłączeniem mebli ogrodowych i kempingowych</t>
  </si>
  <si>
    <t>Meble do siedzenia, tapicerowane, mieszkaniowe</t>
  </si>
  <si>
    <t>Meble drewniane, w rodzaju stosowanych w kuchni, do wbudowania</t>
  </si>
  <si>
    <t>Meble drewniane, w rodzaju stosowanych w kuchni, pozostałe</t>
  </si>
  <si>
    <t>Meble drewniane, w rodzaju stosowanych w sypialni</t>
  </si>
  <si>
    <t>Meble drewniane, w rodzaju stosowanych w pokojach stołowych i salonach</t>
  </si>
  <si>
    <t>POZOSTAŁE WYROBY</t>
  </si>
  <si>
    <t>Sterylizatory medyczne, chirurgiczne lub laboratoryjne</t>
  </si>
  <si>
    <t>ENERGIA ELEKTRYCZNA , PALIWA GAZOWE, PARA WODNA, GORĄCA WODA I POWIETRZE DO UKŁADÓW KLIMATYZACYJNYCH</t>
  </si>
  <si>
    <t>Energia elektryczna</t>
  </si>
  <si>
    <t>GWh</t>
  </si>
  <si>
    <t>Energia elektryczna z elektrowni cieplnych</t>
  </si>
  <si>
    <t>Energia elektryczna z elektrowni wodnych</t>
  </si>
  <si>
    <t>Energia elektryczna z pozostałych elektrowni</t>
  </si>
  <si>
    <t>TJ</t>
  </si>
  <si>
    <t>JM</t>
  </si>
  <si>
    <t>Wyrób</t>
  </si>
  <si>
    <t>liczba wyrobów</t>
  </si>
  <si>
    <t>Dział</t>
  </si>
  <si>
    <t>01</t>
  </si>
  <si>
    <t>20</t>
  </si>
  <si>
    <t>27</t>
  </si>
  <si>
    <t>40</t>
  </si>
  <si>
    <t>03</t>
  </si>
  <si>
    <t>21</t>
  </si>
  <si>
    <t>15</t>
  </si>
  <si>
    <t>22</t>
  </si>
  <si>
    <t>02</t>
  </si>
  <si>
    <t>04</t>
  </si>
  <si>
    <t>05</t>
  </si>
  <si>
    <t>06</t>
  </si>
  <si>
    <t>07</t>
  </si>
  <si>
    <t>08</t>
  </si>
  <si>
    <t>09</t>
  </si>
  <si>
    <t>10</t>
  </si>
  <si>
    <t>11</t>
  </si>
  <si>
    <t>12</t>
  </si>
  <si>
    <t>13</t>
  </si>
  <si>
    <t>14</t>
  </si>
  <si>
    <t>16</t>
  </si>
  <si>
    <t>17</t>
  </si>
  <si>
    <t>18</t>
  </si>
  <si>
    <t>19</t>
  </si>
  <si>
    <t>23</t>
  </si>
  <si>
    <t>24</t>
  </si>
  <si>
    <t>25</t>
  </si>
  <si>
    <t>26</t>
  </si>
  <si>
    <t>28</t>
  </si>
  <si>
    <t>29</t>
  </si>
  <si>
    <t>30</t>
  </si>
  <si>
    <t>31</t>
  </si>
  <si>
    <t>32</t>
  </si>
  <si>
    <t>34</t>
  </si>
  <si>
    <t>35</t>
  </si>
  <si>
    <t>36</t>
  </si>
  <si>
    <t>37</t>
  </si>
  <si>
    <t>38</t>
  </si>
  <si>
    <t>39</t>
  </si>
  <si>
    <t>41</t>
  </si>
  <si>
    <t>42</t>
  </si>
  <si>
    <t>43</t>
  </si>
  <si>
    <t>44</t>
  </si>
  <si>
    <t>45</t>
  </si>
  <si>
    <t>46</t>
  </si>
  <si>
    <t>klucz</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</si>
  <si>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</si>
  <si>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</si>
  <si>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</si>
  <si>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</si>
  <si>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</si>
  <si>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</si>
  <si>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</si>
  <si>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</si>
  <si>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</si>
  <si>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</si>
  <si>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</si>
  <si>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</si>
  <si>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</si>
  <si>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</si>
  <si>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</si>
  <si>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</si>
  <si>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</si>
  <si>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</si>
  <si>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</si>
  <si>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</si>
  <si>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</si>
  <si>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</si>
  <si>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</si>
  <si>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</si>
  <si>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</si>
  <si>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</si>
  <si>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</si>
  <si>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</si>
  <si>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</si>
  <si>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</si>
  <si>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</si>
  <si>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</si>
  <si>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</si>
  <si>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</si>
  <si>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</si>
  <si>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</si>
  <si>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</si>
  <si>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</si>
  <si>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</si>
  <si>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</si>
  <si>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</si>
  <si>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</si>
  <si>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</si>
  <si>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</si>
  <si>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</si>
  <si>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</si>
  <si>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</si>
  <si>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</si>
  <si>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</si>
  <si>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</si>
  <si>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</si>
  <si>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</si>
  <si>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</si>
  <si>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</si>
  <si>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</si>
  <si>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</si>
  <si>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</si>
  <si>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</si>
  <si>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</si>
  <si>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</si>
  <si>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</si>
  <si>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</si>
  <si>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</si>
  <si>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</si>
  <si>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</si>
  <si>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</si>
  <si>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</si>
  <si>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</si>
  <si>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</si>
  <si>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</si>
  <si>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</si>
  <si>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</si>
  <si>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</si>
  <si>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</si>
  <si>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</si>
  <si>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</si>
  <si>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</si>
  <si>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</si>
  <si>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</si>
  <si>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</si>
  <si>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</si>
  <si>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</si>
  <si>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</si>
  <si>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</si>
  <si>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</si>
  <si>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</si>
  <si>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</si>
  <si>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</si>
  <si>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</si>
  <si>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</si>
  <si>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</si>
  <si>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</si>
  <si>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</si>
  <si>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</si>
  <si>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</si>
  <si>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</si>
  <si>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</si>
  <si>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</si>
  <si>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</si>
  <si>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</si>
  <si>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</si>
  <si>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</si>
  <si>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</si>
  <si>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</si>
  <si>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</si>
  <si>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</si>
  <si>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</si>
  <si>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</si>
  <si>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</si>
  <si>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</si>
  <si>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</si>
  <si>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</si>
  <si>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</si>
  <si>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</si>
  <si>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</si>
  <si>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</si>
  <si>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</si>
  <si>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</si>
  <si>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</si>
  <si>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</si>
  <si>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</si>
  <si>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</si>
  <si>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</si>
  <si>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</si>
  <si>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</si>
  <si>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</si>
  <si>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</si>
  <si>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</si>
  <si>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</si>
  <si>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</si>
  <si>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</si>
  <si>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</si>
  <si>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</si>
  <si>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</si>
  <si>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</si>
  <si>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</si>
  <si>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</si>
  <si>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</si>
  <si>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</si>
  <si>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</si>
  <si>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</si>
  <si>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</si>
  <si>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</si>
  <si>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</si>
  <si>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</si>
  <si>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</si>
  <si>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</si>
  <si>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</si>
  <si>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</si>
  <si>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</si>
  <si>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</si>
  <si>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</si>
  <si>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</si>
  <si>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</si>
  <si>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</si>
  <si>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</si>
  <si>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</si>
  <si>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</si>
  <si>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</si>
  <si>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</si>
  <si>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</si>
  <si>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</si>
  <si>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</si>
  <si>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</si>
  <si>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</si>
  <si>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</si>
  <si>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</si>
  <si>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</si>
  <si>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</si>
  <si>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</si>
  <si>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</si>
  <si>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</si>
  <si>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</si>
  <si>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</si>
  <si>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</si>
  <si>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</si>
  <si>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</si>
  <si>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</si>
  <si>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</si>
  <si>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</si>
  <si>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</si>
  <si>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</si>
  <si>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</si>
  <si>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</si>
  <si>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</si>
  <si>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</si>
  <si>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</si>
  <si>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</si>
  <si>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</si>
  <si>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</si>
  <si>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</si>
  <si>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</si>
  <si>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</si>
  <si>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</si>
  <si>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</si>
  <si>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</si>
  <si>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</si>
  <si>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</si>
  <si>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</si>
  <si>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</si>
  <si>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</si>
  <si>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</si>
  <si>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</si>
  <si>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</si>
  <si>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</si>
  <si>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</si>
  <si>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</si>
  <si>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</si>
  <si>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</si>
  <si>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</si>
  <si>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</si>
  <si>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</si>
  <si>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</si>
  <si>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</si>
  <si>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</si>
  <si>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</si>
  <si>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</si>
  <si>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</si>
  <si>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</si>
  <si>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</si>
  <si>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</si>
  <si>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</si>
  <si>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</si>
  <si>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</si>
  <si>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</si>
  <si>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</si>
  <si>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</si>
  <si>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</si>
  <si>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</si>
  <si>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</si>
  <si>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</si>
  <si>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</si>
  <si>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</si>
  <si>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</si>
  <si>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</si>
  <si>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</si>
  <si>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</si>
  <si>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</si>
  <si>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</si>
  <si>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</si>
  <si>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</si>
  <si>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</si>
  <si>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</si>
  <si>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</si>
  <si>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</si>
  <si>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</si>
  <si>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</si>
  <si>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</si>
  <si>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</si>
  <si>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</si>
  <si>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</si>
  <si>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</si>
  <si>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</si>
  <si>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</si>
  <si>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</si>
  <si>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</si>
  <si>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</si>
  <si>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</si>
  <si>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</si>
  <si>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</si>
  <si>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</si>
  <si>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</si>
  <si>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</si>
  <si>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</si>
  <si>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</si>
  <si>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</si>
  <si>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</si>
  <si>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</si>
  <si>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</si>
  <si>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</si>
  <si>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</si>
  <si>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</si>
  <si>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</si>
  <si>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</si>
  <si>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</si>
  <si>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</si>
  <si>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</si>
  <si>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</si>
  <si>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</si>
  <si>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</si>
  <si>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</si>
  <si>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</si>
  <si>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</si>
  <si>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</si>
  <si>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</si>
  <si>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</si>
  <si>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</si>
  <si>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</si>
  <si>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</si>
  <si>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</si>
  <si>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</si>
  <si>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</si>
  <si>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</si>
  <si>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</si>
  <si>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</si>
  <si>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</si>
  <si>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</si>
  <si>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</si>
  <si>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</si>
  <si>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</si>
  <si>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</si>
  <si>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</si>
  <si>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</si>
  <si>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</si>
  <si>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</si>
  <si>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</si>
  <si>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</si>
  <si>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</si>
  <si>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</si>
  <si>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</si>
  <si>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</si>
  <si>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</si>
  <si>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</si>
  <si>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</si>
  <si>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</si>
  <si>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</si>
  <si>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</si>
  <si>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</si>
  <si>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</si>
  <si>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</si>
  <si>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</si>
  <si>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</si>
  <si>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</si>
  <si>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</si>
  <si>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</si>
  <si>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</si>
  <si>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</si>
  <si>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</si>
  <si>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</si>
  <si>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</si>
  <si>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</si>
  <si>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</si>
  <si>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</si>
  <si>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</si>
  <si>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</si>
  <si>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</si>
  <si>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</si>
  <si>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</si>
  <si>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</si>
  <si>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</si>
  <si>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</si>
  <si>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</si>
  <si>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</si>
  <si>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</si>
  <si>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</si>
  <si>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</si>
  <si>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</si>
  <si>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</si>
  <si>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</si>
  <si>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</si>
  <si>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</si>
  <si>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</si>
  <si>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</si>
  <si>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</si>
  <si>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</si>
  <si>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</si>
  <si>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</si>
  <si>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</si>
  <si>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</si>
  <si>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</si>
  <si>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</si>
  <si>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</si>
  <si>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</si>
  <si>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</si>
  <si>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</si>
  <si>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</si>
  <si>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</si>
  <si>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</si>
  <si>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</si>
  <si>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</si>
  <si>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</si>
  <si>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</si>
  <si>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</si>
  <si>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</si>
  <si>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</si>
  <si>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</si>
  <si>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</si>
  <si>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</si>
  <si>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</si>
  <si>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</si>
  <si>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</si>
  <si>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</si>
  <si>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</si>
  <si>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</si>
  <si>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</si>
  <si>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</si>
  <si>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</si>
  <si>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</si>
  <si>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</si>
  <si>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</si>
  <si>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</si>
  <si>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</si>
  <si>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</si>
  <si>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</si>
  <si>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</si>
  <si>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</si>
  <si>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</si>
  <si>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</si>
  <si>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</si>
  <si>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</si>
  <si>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</si>
  <si>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</si>
  <si>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</si>
  <si>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</si>
  <si>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</si>
  <si>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</si>
  <si>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</si>
  <si>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</si>
  <si>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</si>
  <si>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</si>
  <si>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</si>
  <si>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</si>
  <si>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</si>
  <si>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</si>
  <si>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</si>
  <si>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</si>
  <si>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</si>
  <si>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</si>
  <si>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</si>
  <si>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</si>
  <si>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</si>
  <si>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</si>
  <si>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</si>
  <si>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</si>
  <si>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</si>
  <si>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</si>
  <si>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</si>
  <si>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</si>
  <si>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</si>
  <si>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</si>
  <si>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</si>
  <si>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</si>
  <si>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</si>
  <si>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</si>
  <si>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</si>
  <si>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</si>
  <si>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</si>
  <si>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</si>
  <si>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</si>
  <si>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</si>
  <si>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</si>
  <si>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</si>
  <si>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</si>
  <si>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</si>
  <si>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</si>
  <si>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</si>
  <si>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</si>
  <si>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</si>
  <si>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</si>
  <si>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</si>
  <si>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</si>
  <si>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</si>
  <si>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</si>
  <si>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</si>
  <si>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</si>
  <si>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</si>
  <si>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</si>
  <si>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</si>
  <si>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</si>
  <si>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</si>
  <si>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</si>
  <si>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</si>
  <si>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</si>
  <si>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</si>
  <si>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</si>
  <si>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</si>
  <si>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</si>
  <si>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</si>
  <si>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</si>
  <si>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</si>
  <si>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</si>
  <si>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</si>
  <si>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</si>
  <si>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</si>
  <si>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</si>
  <si>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</si>
  <si>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</si>
  <si>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</si>
  <si>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</si>
  <si>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</si>
  <si>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</si>
  <si>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</si>
  <si>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</si>
  <si>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</si>
  <si>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</si>
  <si>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</si>
  <si>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</si>
  <si>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</si>
  <si>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</si>
  <si>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</si>
  <si>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</si>
  <si>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</si>
  <si>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</si>
  <si>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</si>
  <si>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</si>
  <si>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</si>
  <si>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</si>
  <si>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</si>
  <si>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</si>
  <si>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</si>
  <si>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</si>
  <si>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</si>
  <si>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</si>
  <si>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</si>
  <si>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</si>
  <si>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</si>
  <si>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</si>
  <si>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</si>
  <si>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</si>
  <si>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</si>
  <si>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</si>
  <si>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</si>
  <si>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</si>
  <si>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</si>
  <si>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</si>
  <si>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</si>
  <si>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</si>
  <si>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</si>
  <si>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</si>
  <si>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</si>
  <si>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</si>
  <si>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</si>
  <si>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</si>
  <si>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</si>
  <si>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</si>
  <si>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</si>
  <si>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</si>
  <si>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</si>
  <si>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</si>
  <si>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</si>
  <si>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</si>
  <si>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</si>
  <si>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</si>
  <si>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</si>
  <si>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</si>
  <si>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</si>
  <si>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</si>
  <si>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</si>
  <si>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</si>
  <si>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</si>
  <si>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</si>
  <si>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</si>
  <si>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</si>
  <si>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</si>
  <si>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</si>
  <si>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</si>
  <si>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</si>
  <si>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</si>
  <si>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</si>
  <si>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</si>
  <si>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</si>
  <si>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</si>
  <si>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</si>
  <si>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</si>
  <si>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</si>
  <si>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</si>
  <si>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</si>
  <si>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</si>
  <si>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</si>
  <si>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</si>
  <si>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</si>
  <si>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</si>
  <si>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</si>
  <si>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</si>
  <si>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</si>
  <si>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</si>
  <si>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</si>
  <si>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</si>
  <si>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</si>
  <si>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</si>
  <si>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</si>
  <si>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</si>
  <si>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</si>
  <si>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</si>
  <si>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</si>
  <si>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</si>
  <si>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</si>
  <si>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</si>
  <si>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</si>
  <si>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</si>
  <si>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</si>
  <si>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</si>
  <si>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</si>
  <si>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</si>
  <si>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</si>
  <si>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</si>
  <si>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</si>
  <si>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</si>
  <si>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</si>
  <si>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</si>
  <si>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</si>
  <si>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</si>
  <si>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</si>
  <si>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</si>
  <si>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</si>
  <si>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</si>
  <si>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</si>
  <si>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</si>
  <si>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</si>
  <si>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</si>
  <si>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</si>
  <si>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</si>
  <si>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</si>
  <si>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</si>
  <si>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</si>
  <si>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</si>
  <si>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</si>
  <si>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</si>
  <si>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</si>
  <si>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</si>
  <si>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</si>
  <si>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</si>
  <si>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</si>
  <si>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</si>
  <si>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</si>
  <si>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</si>
  <si>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</si>
  <si>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</si>
  <si>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</si>
  <si>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</si>
  <si>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</si>
  <si>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</si>
  <si>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</si>
  <si>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</si>
  <si>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</si>
  <si>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</si>
  <si>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</si>
  <si>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</si>
  <si>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</si>
  <si>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</si>
  <si>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</si>
  <si>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</si>
  <si>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</si>
  <si>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</si>
  <si>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</si>
  <si>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</si>
  <si>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</si>
  <si>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</si>
  <si>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</si>
  <si>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</si>
  <si>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</si>
  <si>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</si>
  <si>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</si>
  <si>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</si>
  <si>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</si>
  <si>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</si>
  <si>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</si>
  <si>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</si>
  <si>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</si>
  <si>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</si>
  <si>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</si>
  <si>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</si>
  <si>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</si>
  <si>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</si>
  <si>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</si>
  <si>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</si>
  <si>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</si>
  <si>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</si>
  <si>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</si>
  <si>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</si>
  <si>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</si>
  <si>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</si>
  <si>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</si>
  <si>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</si>
  <si>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</si>
  <si>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</si>
  <si>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</si>
  <si>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</si>
  <si>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</si>
  <si>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Id Dział</t>
  </si>
  <si>
    <t>Id JM</t>
  </si>
  <si>
    <t>Id wyrób</t>
  </si>
  <si>
    <t>klucz pełny</t>
  </si>
  <si>
    <t>01001</t>
  </si>
  <si>
    <t>0100118</t>
  </si>
  <si>
    <t>01002</t>
  </si>
  <si>
    <t>0100242</t>
  </si>
  <si>
    <t>01003</t>
  </si>
  <si>
    <t>0100318</t>
  </si>
  <si>
    <t>01004</t>
  </si>
  <si>
    <t>0100442</t>
  </si>
  <si>
    <t>01005</t>
  </si>
  <si>
    <t>0100518</t>
  </si>
  <si>
    <t>01006</t>
  </si>
  <si>
    <t>0100642</t>
  </si>
  <si>
    <t>02007</t>
  </si>
  <si>
    <t>0200718</t>
  </si>
  <si>
    <t>02008</t>
  </si>
  <si>
    <t>0200801</t>
  </si>
  <si>
    <t>02009</t>
  </si>
  <si>
    <t>0200902</t>
  </si>
  <si>
    <t>03010</t>
  </si>
  <si>
    <t>0301018</t>
  </si>
  <si>
    <t>03011</t>
  </si>
  <si>
    <t>0301127</t>
  </si>
  <si>
    <t>03012</t>
  </si>
  <si>
    <t>0301209</t>
  </si>
  <si>
    <t>03013</t>
  </si>
  <si>
    <t>0301318</t>
  </si>
  <si>
    <t>03014</t>
  </si>
  <si>
    <t>0301427</t>
  </si>
  <si>
    <t>03015</t>
  </si>
  <si>
    <t>0301518</t>
  </si>
  <si>
    <t>03016</t>
  </si>
  <si>
    <t>0301638</t>
  </si>
  <si>
    <t>04017</t>
  </si>
  <si>
    <t>0401718</t>
  </si>
  <si>
    <t>04018</t>
  </si>
  <si>
    <t>0401818</t>
  </si>
  <si>
    <t>04019</t>
  </si>
  <si>
    <t>0401918</t>
  </si>
  <si>
    <t>04020</t>
  </si>
  <si>
    <t>0402018</t>
  </si>
  <si>
    <t>04021</t>
  </si>
  <si>
    <t>0402118</t>
  </si>
  <si>
    <t>04022</t>
  </si>
  <si>
    <t>0402218</t>
  </si>
  <si>
    <t>04023</t>
  </si>
  <si>
    <t>0402318</t>
  </si>
  <si>
    <t>04024</t>
  </si>
  <si>
    <t>0402418</t>
  </si>
  <si>
    <t>04025</t>
  </si>
  <si>
    <t>0402518</t>
  </si>
  <si>
    <t>04026</t>
  </si>
  <si>
    <t>0402618</t>
  </si>
  <si>
    <t>04027</t>
  </si>
  <si>
    <t>0402718</t>
  </si>
  <si>
    <t>04028</t>
  </si>
  <si>
    <t>0402818</t>
  </si>
  <si>
    <t>04029</t>
  </si>
  <si>
    <t>0402918</t>
  </si>
  <si>
    <t>04030</t>
  </si>
  <si>
    <t>0403018</t>
  </si>
  <si>
    <t>04031</t>
  </si>
  <si>
    <t>0403118</t>
  </si>
  <si>
    <t>04032</t>
  </si>
  <si>
    <t>0403218</t>
  </si>
  <si>
    <t>04033</t>
  </si>
  <si>
    <t>0403318</t>
  </si>
  <si>
    <t>04034</t>
  </si>
  <si>
    <t>0403418</t>
  </si>
  <si>
    <t>04035</t>
  </si>
  <si>
    <t>0403539</t>
  </si>
  <si>
    <t>04036</t>
  </si>
  <si>
    <t>0403618</t>
  </si>
  <si>
    <t>04037</t>
  </si>
  <si>
    <t>0403718</t>
  </si>
  <si>
    <t>04038</t>
  </si>
  <si>
    <t>0403818</t>
  </si>
  <si>
    <t>04039</t>
  </si>
  <si>
    <t>0403918</t>
  </si>
  <si>
    <t>04040</t>
  </si>
  <si>
    <t>0404034</t>
  </si>
  <si>
    <t>04041</t>
  </si>
  <si>
    <t>0404118</t>
  </si>
  <si>
    <t>05042</t>
  </si>
  <si>
    <t>0504218</t>
  </si>
  <si>
    <t>05043</t>
  </si>
  <si>
    <t>0504318</t>
  </si>
  <si>
    <t>05044</t>
  </si>
  <si>
    <t>0504418</t>
  </si>
  <si>
    <t>05045</t>
  </si>
  <si>
    <t>0504518</t>
  </si>
  <si>
    <t>05046</t>
  </si>
  <si>
    <t>0504618</t>
  </si>
  <si>
    <t>05047</t>
  </si>
  <si>
    <t>0504718</t>
  </si>
  <si>
    <t>05048</t>
  </si>
  <si>
    <t>0504818</t>
  </si>
  <si>
    <t>05049</t>
  </si>
  <si>
    <t>0504918</t>
  </si>
  <si>
    <t>05050</t>
  </si>
  <si>
    <t>0505018</t>
  </si>
  <si>
    <t>05051</t>
  </si>
  <si>
    <t>0505118</t>
  </si>
  <si>
    <t>05052</t>
  </si>
  <si>
    <t>0505218</t>
  </si>
  <si>
    <t>05053</t>
  </si>
  <si>
    <t>0505318</t>
  </si>
  <si>
    <t>05054</t>
  </si>
  <si>
    <t>0505418</t>
  </si>
  <si>
    <t>05055</t>
  </si>
  <si>
    <t>0505518</t>
  </si>
  <si>
    <t>05056</t>
  </si>
  <si>
    <t>0505618</t>
  </si>
  <si>
    <t>05057</t>
  </si>
  <si>
    <t>0505705</t>
  </si>
  <si>
    <t>05058</t>
  </si>
  <si>
    <t>0505818</t>
  </si>
  <si>
    <t>05059</t>
  </si>
  <si>
    <t>0505905</t>
  </si>
  <si>
    <t>05060</t>
  </si>
  <si>
    <t>0506018</t>
  </si>
  <si>
    <t>05061</t>
  </si>
  <si>
    <t>0506105</t>
  </si>
  <si>
    <t>05062</t>
  </si>
  <si>
    <t>0506218</t>
  </si>
  <si>
    <t>05063</t>
  </si>
  <si>
    <t>0506305</t>
  </si>
  <si>
    <t>05064</t>
  </si>
  <si>
    <t>0506418</t>
  </si>
  <si>
    <t>05065</t>
  </si>
  <si>
    <t>0506518</t>
  </si>
  <si>
    <t>05066</t>
  </si>
  <si>
    <t>0506618</t>
  </si>
  <si>
    <t>05067</t>
  </si>
  <si>
    <t>0506718</t>
  </si>
  <si>
    <t>05068</t>
  </si>
  <si>
    <t>0506818</t>
  </si>
  <si>
    <t>05069</t>
  </si>
  <si>
    <t>0506918</t>
  </si>
  <si>
    <t>05070</t>
  </si>
  <si>
    <t>0507018</t>
  </si>
  <si>
    <t>05071</t>
  </si>
  <si>
    <t>0507118</t>
  </si>
  <si>
    <t>05072</t>
  </si>
  <si>
    <t>0507218</t>
  </si>
  <si>
    <t>05073</t>
  </si>
  <si>
    <t>0507305</t>
  </si>
  <si>
    <t>05074</t>
  </si>
  <si>
    <t>0507405</t>
  </si>
  <si>
    <t>05075</t>
  </si>
  <si>
    <t>0507505</t>
  </si>
  <si>
    <t>05076</t>
  </si>
  <si>
    <t>0507605</t>
  </si>
  <si>
    <t>05077</t>
  </si>
  <si>
    <t>0507718</t>
  </si>
  <si>
    <t>05078</t>
  </si>
  <si>
    <t>0507818</t>
  </si>
  <si>
    <t>05079</t>
  </si>
  <si>
    <t>0507918</t>
  </si>
  <si>
    <t>05080</t>
  </si>
  <si>
    <t>0508018</t>
  </si>
  <si>
    <t>05081</t>
  </si>
  <si>
    <t>0508118</t>
  </si>
  <si>
    <t>05082</t>
  </si>
  <si>
    <t>0508218</t>
  </si>
  <si>
    <t>05083</t>
  </si>
  <si>
    <t>0508305</t>
  </si>
  <si>
    <t>05084</t>
  </si>
  <si>
    <t>0508418</t>
  </si>
  <si>
    <t>05085</t>
  </si>
  <si>
    <t>0508505</t>
  </si>
  <si>
    <t>05086</t>
  </si>
  <si>
    <t>0508618</t>
  </si>
  <si>
    <t>05087</t>
  </si>
  <si>
    <t>0508718</t>
  </si>
  <si>
    <t>05088</t>
  </si>
  <si>
    <t>0508818</t>
  </si>
  <si>
    <t>05089</t>
  </si>
  <si>
    <t>0508918</t>
  </si>
  <si>
    <t>05090</t>
  </si>
  <si>
    <t>0509018</t>
  </si>
  <si>
    <t>05091</t>
  </si>
  <si>
    <t>0509118</t>
  </si>
  <si>
    <t>05092</t>
  </si>
  <si>
    <t>0509218</t>
  </si>
  <si>
    <t>05093</t>
  </si>
  <si>
    <t>0509318</t>
  </si>
  <si>
    <t>05094</t>
  </si>
  <si>
    <t>0509418</t>
  </si>
  <si>
    <t>05095</t>
  </si>
  <si>
    <t>0509518</t>
  </si>
  <si>
    <t>05096</t>
  </si>
  <si>
    <t>0509618</t>
  </si>
  <si>
    <t>05097</t>
  </si>
  <si>
    <t>0509718</t>
  </si>
  <si>
    <t>05098</t>
  </si>
  <si>
    <t>0509818</t>
  </si>
  <si>
    <t>05099</t>
  </si>
  <si>
    <t>0509918</t>
  </si>
  <si>
    <t>05100</t>
  </si>
  <si>
    <t>0510018</t>
  </si>
  <si>
    <t>05101</t>
  </si>
  <si>
    <t>0510118</t>
  </si>
  <si>
    <t>05102</t>
  </si>
  <si>
    <t>0510218</t>
  </si>
  <si>
    <t>05103</t>
  </si>
  <si>
    <t>0510318</t>
  </si>
  <si>
    <t>05104</t>
  </si>
  <si>
    <t>0510418</t>
  </si>
  <si>
    <t>05105</t>
  </si>
  <si>
    <t>0510518</t>
  </si>
  <si>
    <t>05106</t>
  </si>
  <si>
    <t>0510618</t>
  </si>
  <si>
    <t>05107</t>
  </si>
  <si>
    <t>0510718</t>
  </si>
  <si>
    <t>05108</t>
  </si>
  <si>
    <t>0510807</t>
  </si>
  <si>
    <t>05109</t>
  </si>
  <si>
    <t>0510918</t>
  </si>
  <si>
    <t>05110</t>
  </si>
  <si>
    <t>0511018</t>
  </si>
  <si>
    <t>05111</t>
  </si>
  <si>
    <t>0511118</t>
  </si>
  <si>
    <t>05112</t>
  </si>
  <si>
    <t>0511218</t>
  </si>
  <si>
    <t>05113</t>
  </si>
  <si>
    <t>0511318</t>
  </si>
  <si>
    <t>05114</t>
  </si>
  <si>
    <t>0511418</t>
  </si>
  <si>
    <t>05115</t>
  </si>
  <si>
    <t>0511518</t>
  </si>
  <si>
    <t>05116</t>
  </si>
  <si>
    <t>0511618</t>
  </si>
  <si>
    <t>05117</t>
  </si>
  <si>
    <t>0511718</t>
  </si>
  <si>
    <t>06118</t>
  </si>
  <si>
    <t>0611806</t>
  </si>
  <si>
    <t>06119</t>
  </si>
  <si>
    <t>0611905</t>
  </si>
  <si>
    <t>06120</t>
  </si>
  <si>
    <t>0612005</t>
  </si>
  <si>
    <t>06121</t>
  </si>
  <si>
    <t>0612105</t>
  </si>
  <si>
    <t>06122</t>
  </si>
  <si>
    <t>0612205</t>
  </si>
  <si>
    <t>06123</t>
  </si>
  <si>
    <t>0612318</t>
  </si>
  <si>
    <t>06124</t>
  </si>
  <si>
    <t>0612405</t>
  </si>
  <si>
    <t>06125</t>
  </si>
  <si>
    <t>0612505</t>
  </si>
  <si>
    <t>06126</t>
  </si>
  <si>
    <t>0612605</t>
  </si>
  <si>
    <t>06127</t>
  </si>
  <si>
    <t>0612705</t>
  </si>
  <si>
    <t>06128</t>
  </si>
  <si>
    <t>0612818</t>
  </si>
  <si>
    <t>07129</t>
  </si>
  <si>
    <t>0712918</t>
  </si>
  <si>
    <t>07130</t>
  </si>
  <si>
    <t>0713014</t>
  </si>
  <si>
    <t>08131</t>
  </si>
  <si>
    <t>0813108</t>
  </si>
  <si>
    <t>08132</t>
  </si>
  <si>
    <t>0813208</t>
  </si>
  <si>
    <t>08133</t>
  </si>
  <si>
    <t>0813308</t>
  </si>
  <si>
    <t>08134</t>
  </si>
  <si>
    <t>0813418</t>
  </si>
  <si>
    <t>08135</t>
  </si>
  <si>
    <t>0813518</t>
  </si>
  <si>
    <t>08136</t>
  </si>
  <si>
    <t>0813608</t>
  </si>
  <si>
    <t>08137</t>
  </si>
  <si>
    <t>0813708</t>
  </si>
  <si>
    <t>08138</t>
  </si>
  <si>
    <t>0813844</t>
  </si>
  <si>
    <t>08139</t>
  </si>
  <si>
    <t>0813944</t>
  </si>
  <si>
    <t>08140</t>
  </si>
  <si>
    <t>0814044</t>
  </si>
  <si>
    <t>08141</t>
  </si>
  <si>
    <t>0814144</t>
  </si>
  <si>
    <t>08142</t>
  </si>
  <si>
    <t>0814244</t>
  </si>
  <si>
    <t>08143</t>
  </si>
  <si>
    <t>0814344</t>
  </si>
  <si>
    <t>08144</t>
  </si>
  <si>
    <t>0814444</t>
  </si>
  <si>
    <t>08145</t>
  </si>
  <si>
    <t>0814517</t>
  </si>
  <si>
    <t>08146</t>
  </si>
  <si>
    <t>0814646</t>
  </si>
  <si>
    <t>08147</t>
  </si>
  <si>
    <t>0814746</t>
  </si>
  <si>
    <t>08148</t>
  </si>
  <si>
    <t>0814846</t>
  </si>
  <si>
    <t>08149</t>
  </si>
  <si>
    <t>0814908</t>
  </si>
  <si>
    <t>08150</t>
  </si>
  <si>
    <t>0815044</t>
  </si>
  <si>
    <t>08151</t>
  </si>
  <si>
    <t>0815144</t>
  </si>
  <si>
    <t>08152</t>
  </si>
  <si>
    <t>0815244</t>
  </si>
  <si>
    <t>09153</t>
  </si>
  <si>
    <t>0915317</t>
  </si>
  <si>
    <t>09154</t>
  </si>
  <si>
    <t>0915417</t>
  </si>
  <si>
    <t>09155</t>
  </si>
  <si>
    <t>0915517</t>
  </si>
  <si>
    <t>09156</t>
  </si>
  <si>
    <t>0915617</t>
  </si>
  <si>
    <t>09157</t>
  </si>
  <si>
    <t>0915717</t>
  </si>
  <si>
    <t>09158</t>
  </si>
  <si>
    <t>0915817</t>
  </si>
  <si>
    <t>09159</t>
  </si>
  <si>
    <t>0915917</t>
  </si>
  <si>
    <t>09160</t>
  </si>
  <si>
    <t>0916017</t>
  </si>
  <si>
    <t>09161</t>
  </si>
  <si>
    <t>0916117</t>
  </si>
  <si>
    <t>09162</t>
  </si>
  <si>
    <t>0916246</t>
  </si>
  <si>
    <t>09163</t>
  </si>
  <si>
    <t>0916346</t>
  </si>
  <si>
    <t>09164</t>
  </si>
  <si>
    <t>0916446</t>
  </si>
  <si>
    <t>09165</t>
  </si>
  <si>
    <t>0916546</t>
  </si>
  <si>
    <t>09166</t>
  </si>
  <si>
    <t>0916617</t>
  </si>
  <si>
    <t>09167</t>
  </si>
  <si>
    <t>0916746</t>
  </si>
  <si>
    <t>09168</t>
  </si>
  <si>
    <t>0916846</t>
  </si>
  <si>
    <t>09169</t>
  </si>
  <si>
    <t>0916945</t>
  </si>
  <si>
    <t>09170</t>
  </si>
  <si>
    <t>0917046</t>
  </si>
  <si>
    <t>10171</t>
  </si>
  <si>
    <t>1017118</t>
  </si>
  <si>
    <t>10172</t>
  </si>
  <si>
    <t>1017244</t>
  </si>
  <si>
    <t>10173</t>
  </si>
  <si>
    <t>1017318</t>
  </si>
  <si>
    <t>10174</t>
  </si>
  <si>
    <t>1017446</t>
  </si>
  <si>
    <t>10175</t>
  </si>
  <si>
    <t>1017546</t>
  </si>
  <si>
    <t>10176</t>
  </si>
  <si>
    <t>1017645</t>
  </si>
  <si>
    <t>10177</t>
  </si>
  <si>
    <t>1017745</t>
  </si>
  <si>
    <t>10178</t>
  </si>
  <si>
    <t>1017845</t>
  </si>
  <si>
    <t>11179</t>
  </si>
  <si>
    <t>1117913</t>
  </si>
  <si>
    <t>11180</t>
  </si>
  <si>
    <t>1118013</t>
  </si>
  <si>
    <t>11181</t>
  </si>
  <si>
    <t>1118113</t>
  </si>
  <si>
    <t>11182</t>
  </si>
  <si>
    <t>1118213</t>
  </si>
  <si>
    <t>11183</t>
  </si>
  <si>
    <t>1118313</t>
  </si>
  <si>
    <t>11184</t>
  </si>
  <si>
    <t>1118444</t>
  </si>
  <si>
    <t>11185</t>
  </si>
  <si>
    <t>1118544</t>
  </si>
  <si>
    <t>11186</t>
  </si>
  <si>
    <t>1118612</t>
  </si>
  <si>
    <t>11187</t>
  </si>
  <si>
    <t>1118712</t>
  </si>
  <si>
    <t>11188</t>
  </si>
  <si>
    <t>1118812</t>
  </si>
  <si>
    <t>11189</t>
  </si>
  <si>
    <t>1118917</t>
  </si>
  <si>
    <t>11190</t>
  </si>
  <si>
    <t>1119017</t>
  </si>
  <si>
    <t>11191</t>
  </si>
  <si>
    <t>1119118</t>
  </si>
  <si>
    <t>12192</t>
  </si>
  <si>
    <t>1219218</t>
  </si>
  <si>
    <t>12193</t>
  </si>
  <si>
    <t>1219318</t>
  </si>
  <si>
    <t>12194</t>
  </si>
  <si>
    <t>1219418</t>
  </si>
  <si>
    <t>12195</t>
  </si>
  <si>
    <t>1219518</t>
  </si>
  <si>
    <t>12196</t>
  </si>
  <si>
    <t>1219618</t>
  </si>
  <si>
    <t>12197</t>
  </si>
  <si>
    <t>1219718</t>
  </si>
  <si>
    <t>12198</t>
  </si>
  <si>
    <t>1219818</t>
  </si>
  <si>
    <t>12199</t>
  </si>
  <si>
    <t>1219918</t>
  </si>
  <si>
    <t>12200</t>
  </si>
  <si>
    <t>1220018</t>
  </si>
  <si>
    <t>12201</t>
  </si>
  <si>
    <t>1220118</t>
  </si>
  <si>
    <t>12202</t>
  </si>
  <si>
    <t>1220218</t>
  </si>
  <si>
    <t>12203</t>
  </si>
  <si>
    <t>1220318</t>
  </si>
  <si>
    <t>12204</t>
  </si>
  <si>
    <t>1220418</t>
  </si>
  <si>
    <t>12205</t>
  </si>
  <si>
    <t>1220518</t>
  </si>
  <si>
    <t>13206</t>
  </si>
  <si>
    <t>1320618</t>
  </si>
  <si>
    <t>13207</t>
  </si>
  <si>
    <t>1320718</t>
  </si>
  <si>
    <t>13208</t>
  </si>
  <si>
    <t>1320818</t>
  </si>
  <si>
    <t>13209</t>
  </si>
  <si>
    <t>1320918</t>
  </si>
  <si>
    <t>13210</t>
  </si>
  <si>
    <t>1321018</t>
  </si>
  <si>
    <t>13211</t>
  </si>
  <si>
    <t>1321118</t>
  </si>
  <si>
    <t>13212</t>
  </si>
  <si>
    <t>1321218</t>
  </si>
  <si>
    <t>13213</t>
  </si>
  <si>
    <t>1321318</t>
  </si>
  <si>
    <t>13214</t>
  </si>
  <si>
    <t>1321418</t>
  </si>
  <si>
    <t>13215</t>
  </si>
  <si>
    <t>1321518</t>
  </si>
  <si>
    <t>13216</t>
  </si>
  <si>
    <t>1321618</t>
  </si>
  <si>
    <t>14217</t>
  </si>
  <si>
    <t>1421718</t>
  </si>
  <si>
    <t>14218</t>
  </si>
  <si>
    <t>1421818</t>
  </si>
  <si>
    <t>14219</t>
  </si>
  <si>
    <t>1421919</t>
  </si>
  <si>
    <t>14220</t>
  </si>
  <si>
    <t>1422018</t>
  </si>
  <si>
    <t>14221</t>
  </si>
  <si>
    <t>1422140</t>
  </si>
  <si>
    <t>14222</t>
  </si>
  <si>
    <t>1422226</t>
  </si>
  <si>
    <t>14223</t>
  </si>
  <si>
    <t>1422329</t>
  </si>
  <si>
    <t>14224</t>
  </si>
  <si>
    <t>1422428</t>
  </si>
  <si>
    <t>14225</t>
  </si>
  <si>
    <t>1422528</t>
  </si>
  <si>
    <t>14226</t>
  </si>
  <si>
    <t>1422637</t>
  </si>
  <si>
    <t>14227</t>
  </si>
  <si>
    <t>1422718</t>
  </si>
  <si>
    <t>14228</t>
  </si>
  <si>
    <t>1422821</t>
  </si>
  <si>
    <t>14229</t>
  </si>
  <si>
    <t>1422935</t>
  </si>
  <si>
    <t>14230</t>
  </si>
  <si>
    <t>1423018</t>
  </si>
  <si>
    <t>14231</t>
  </si>
  <si>
    <t>1423121</t>
  </si>
  <si>
    <t>14232</t>
  </si>
  <si>
    <t>1423235</t>
  </si>
  <si>
    <t>14234</t>
  </si>
  <si>
    <t>1423418</t>
  </si>
  <si>
    <t>14235</t>
  </si>
  <si>
    <t>1423539</t>
  </si>
  <si>
    <t>14236</t>
  </si>
  <si>
    <t>1423618</t>
  </si>
  <si>
    <t>14237</t>
  </si>
  <si>
    <t>1423718</t>
  </si>
  <si>
    <t>14238</t>
  </si>
  <si>
    <t>1423818</t>
  </si>
  <si>
    <t>14239</t>
  </si>
  <si>
    <t>1423918</t>
  </si>
  <si>
    <t>14240</t>
  </si>
  <si>
    <t>1424018</t>
  </si>
  <si>
    <t>14241</t>
  </si>
  <si>
    <t>1424118</t>
  </si>
  <si>
    <t>14242</t>
  </si>
  <si>
    <t>1424218</t>
  </si>
  <si>
    <t>14243</t>
  </si>
  <si>
    <t>1424318</t>
  </si>
  <si>
    <t>14244</t>
  </si>
  <si>
    <t>1424425</t>
  </si>
  <si>
    <t>14245</t>
  </si>
  <si>
    <t>1424522</t>
  </si>
  <si>
    <t>14246</t>
  </si>
  <si>
    <t>1424618</t>
  </si>
  <si>
    <t>14247</t>
  </si>
  <si>
    <t>1424718</t>
  </si>
  <si>
    <t>14248</t>
  </si>
  <si>
    <t>1424818</t>
  </si>
  <si>
    <t>14249</t>
  </si>
  <si>
    <t>1424923</t>
  </si>
  <si>
    <t>14250</t>
  </si>
  <si>
    <t>1425018</t>
  </si>
  <si>
    <t>14251</t>
  </si>
  <si>
    <t>1425124</t>
  </si>
  <si>
    <t>14252</t>
  </si>
  <si>
    <t>1425218</t>
  </si>
  <si>
    <t>14253</t>
  </si>
  <si>
    <t>1425318</t>
  </si>
  <si>
    <t>14254</t>
  </si>
  <si>
    <t>1425418</t>
  </si>
  <si>
    <t>14255</t>
  </si>
  <si>
    <t>1425518</t>
  </si>
  <si>
    <t>14256</t>
  </si>
  <si>
    <t>1425618</t>
  </si>
  <si>
    <t>14257</t>
  </si>
  <si>
    <t>1425718</t>
  </si>
  <si>
    <t>14258</t>
  </si>
  <si>
    <t>1425806</t>
  </si>
  <si>
    <t>14259</t>
  </si>
  <si>
    <t>1425906</t>
  </si>
  <si>
    <t>14260</t>
  </si>
  <si>
    <t>1426018</t>
  </si>
  <si>
    <t>14261</t>
  </si>
  <si>
    <t>1426130</t>
  </si>
  <si>
    <t>14262</t>
  </si>
  <si>
    <t>1426236</t>
  </si>
  <si>
    <t>14263</t>
  </si>
  <si>
    <t>1426336</t>
  </si>
  <si>
    <t>14264</t>
  </si>
  <si>
    <t>1426418</t>
  </si>
  <si>
    <t>14265</t>
  </si>
  <si>
    <t>1426532</t>
  </si>
  <si>
    <t>14266</t>
  </si>
  <si>
    <t>1426618</t>
  </si>
  <si>
    <t>14267</t>
  </si>
  <si>
    <t>1426732</t>
  </si>
  <si>
    <t>14268</t>
  </si>
  <si>
    <t>1426818</t>
  </si>
  <si>
    <t>14269</t>
  </si>
  <si>
    <t>1426932</t>
  </si>
  <si>
    <t>14270</t>
  </si>
  <si>
    <t>1427018</t>
  </si>
  <si>
    <t>14271</t>
  </si>
  <si>
    <t>1427120</t>
  </si>
  <si>
    <t>14272</t>
  </si>
  <si>
    <t>1427232</t>
  </si>
  <si>
    <t>14273</t>
  </si>
  <si>
    <t>1427318</t>
  </si>
  <si>
    <t>14274</t>
  </si>
  <si>
    <t>1427420</t>
  </si>
  <si>
    <t>14275</t>
  </si>
  <si>
    <t>1427532</t>
  </si>
  <si>
    <t>14276</t>
  </si>
  <si>
    <t>1427618</t>
  </si>
  <si>
    <t>14277</t>
  </si>
  <si>
    <t>1427737</t>
  </si>
  <si>
    <t>14278</t>
  </si>
  <si>
    <t>1427818</t>
  </si>
  <si>
    <t>14279</t>
  </si>
  <si>
    <t>1427937</t>
  </si>
  <si>
    <t>14280</t>
  </si>
  <si>
    <t>1428018</t>
  </si>
  <si>
    <t>14281</t>
  </si>
  <si>
    <t>1428131</t>
  </si>
  <si>
    <t>14282</t>
  </si>
  <si>
    <t>1428218</t>
  </si>
  <si>
    <t>14283</t>
  </si>
  <si>
    <t>1428318</t>
  </si>
  <si>
    <t>14284</t>
  </si>
  <si>
    <t>1428418</t>
  </si>
  <si>
    <t>14285</t>
  </si>
  <si>
    <t>1428518</t>
  </si>
  <si>
    <t>14286</t>
  </si>
  <si>
    <t>1428618</t>
  </si>
  <si>
    <t>14287</t>
  </si>
  <si>
    <t>1428718</t>
  </si>
  <si>
    <t>14288</t>
  </si>
  <si>
    <t>1428818</t>
  </si>
  <si>
    <t>14289</t>
  </si>
  <si>
    <t>1428918</t>
  </si>
  <si>
    <t>14290</t>
  </si>
  <si>
    <t>1429018</t>
  </si>
  <si>
    <t>14291</t>
  </si>
  <si>
    <t>1429118</t>
  </si>
  <si>
    <t>14292</t>
  </si>
  <si>
    <t>1429218</t>
  </si>
  <si>
    <t>14293</t>
  </si>
  <si>
    <t>1429318</t>
  </si>
  <si>
    <t>14294</t>
  </si>
  <si>
    <t>1429418</t>
  </si>
  <si>
    <t>14295</t>
  </si>
  <si>
    <t>1429518</t>
  </si>
  <si>
    <t>14296</t>
  </si>
  <si>
    <t>1429618</t>
  </si>
  <si>
    <t>14297</t>
  </si>
  <si>
    <t>1429718</t>
  </si>
  <si>
    <t>14298</t>
  </si>
  <si>
    <t>1429818</t>
  </si>
  <si>
    <t>14299</t>
  </si>
  <si>
    <t>1429918</t>
  </si>
  <si>
    <t>14300</t>
  </si>
  <si>
    <t>1430018</t>
  </si>
  <si>
    <t>14301</t>
  </si>
  <si>
    <t>1430118</t>
  </si>
  <si>
    <t>14302</t>
  </si>
  <si>
    <t>1430218</t>
  </si>
  <si>
    <t>14303</t>
  </si>
  <si>
    <t>1430305</t>
  </si>
  <si>
    <t>14304</t>
  </si>
  <si>
    <t>1430418</t>
  </si>
  <si>
    <t>14305</t>
  </si>
  <si>
    <t>1430518</t>
  </si>
  <si>
    <t>14306</t>
  </si>
  <si>
    <t>1430605</t>
  </si>
  <si>
    <t>14307</t>
  </si>
  <si>
    <t>1430718</t>
  </si>
  <si>
    <t>14308</t>
  </si>
  <si>
    <t>1430805</t>
  </si>
  <si>
    <t>14309</t>
  </si>
  <si>
    <t>1430918</t>
  </si>
  <si>
    <t>14310</t>
  </si>
  <si>
    <t>1431005</t>
  </si>
  <si>
    <t>14311</t>
  </si>
  <si>
    <t>1431118</t>
  </si>
  <si>
    <t>14312</t>
  </si>
  <si>
    <t>1431205</t>
  </si>
  <si>
    <t>14313</t>
  </si>
  <si>
    <t>1431318</t>
  </si>
  <si>
    <t>14314</t>
  </si>
  <si>
    <t>1431418</t>
  </si>
  <si>
    <t>14315</t>
  </si>
  <si>
    <t>1431518</t>
  </si>
  <si>
    <t>14316</t>
  </si>
  <si>
    <t>1431618</t>
  </si>
  <si>
    <t>14317</t>
  </si>
  <si>
    <t>1431718</t>
  </si>
  <si>
    <t>14318</t>
  </si>
  <si>
    <t>1431818</t>
  </si>
  <si>
    <t>14319</t>
  </si>
  <si>
    <t>1431918</t>
  </si>
  <si>
    <t>14320</t>
  </si>
  <si>
    <t>1432018</t>
  </si>
  <si>
    <t>14321</t>
  </si>
  <si>
    <t>1432118</t>
  </si>
  <si>
    <t>14322</t>
  </si>
  <si>
    <t>1432218</t>
  </si>
  <si>
    <t>14323</t>
  </si>
  <si>
    <t>1432318</t>
  </si>
  <si>
    <t>14324</t>
  </si>
  <si>
    <t>1432418</t>
  </si>
  <si>
    <t>14325</t>
  </si>
  <si>
    <t>1432518</t>
  </si>
  <si>
    <t>14326</t>
  </si>
  <si>
    <t>1432618</t>
  </si>
  <si>
    <t>14327</t>
  </si>
  <si>
    <t>1432718</t>
  </si>
  <si>
    <t>14328</t>
  </si>
  <si>
    <t>1432808</t>
  </si>
  <si>
    <t>14329</t>
  </si>
  <si>
    <t>1432918</t>
  </si>
  <si>
    <t>14330</t>
  </si>
  <si>
    <t>1433018</t>
  </si>
  <si>
    <t>14331</t>
  </si>
  <si>
    <t>1433108</t>
  </si>
  <si>
    <t>14332</t>
  </si>
  <si>
    <t>1433218</t>
  </si>
  <si>
    <t>14333</t>
  </si>
  <si>
    <t>1433318</t>
  </si>
  <si>
    <t>14334</t>
  </si>
  <si>
    <t>1433418</t>
  </si>
  <si>
    <t>15335</t>
  </si>
  <si>
    <t>1533508</t>
  </si>
  <si>
    <t>15336</t>
  </si>
  <si>
    <t>1533618</t>
  </si>
  <si>
    <t>15337</t>
  </si>
  <si>
    <t>1533708</t>
  </si>
  <si>
    <t>16338</t>
  </si>
  <si>
    <t>1633818</t>
  </si>
  <si>
    <t>16339</t>
  </si>
  <si>
    <t>1633946</t>
  </si>
  <si>
    <t>16340</t>
  </si>
  <si>
    <t>1634046</t>
  </si>
  <si>
    <t>16341</t>
  </si>
  <si>
    <t>1634118</t>
  </si>
  <si>
    <t>16342</t>
  </si>
  <si>
    <t>1634246</t>
  </si>
  <si>
    <t>16343</t>
  </si>
  <si>
    <t>1634346</t>
  </si>
  <si>
    <t>16344</t>
  </si>
  <si>
    <t>1634418</t>
  </si>
  <si>
    <t>16345</t>
  </si>
  <si>
    <t>1634546</t>
  </si>
  <si>
    <t>16346</t>
  </si>
  <si>
    <t>1634618</t>
  </si>
  <si>
    <t>16347</t>
  </si>
  <si>
    <t>1634746</t>
  </si>
  <si>
    <t>16348</t>
  </si>
  <si>
    <t>1634817</t>
  </si>
  <si>
    <t>16349</t>
  </si>
  <si>
    <t>1634918</t>
  </si>
  <si>
    <t>16350</t>
  </si>
  <si>
    <t>1635008</t>
  </si>
  <si>
    <t>16351</t>
  </si>
  <si>
    <t>1635108</t>
  </si>
  <si>
    <t>16352</t>
  </si>
  <si>
    <t>1635210</t>
  </si>
  <si>
    <t>16353</t>
  </si>
  <si>
    <t>1635318</t>
  </si>
  <si>
    <t>16354</t>
  </si>
  <si>
    <t>1635408</t>
  </si>
  <si>
    <t>16355</t>
  </si>
  <si>
    <t>1635518</t>
  </si>
  <si>
    <t>16356</t>
  </si>
  <si>
    <t>1635618</t>
  </si>
  <si>
    <t>16357</t>
  </si>
  <si>
    <t>1635718</t>
  </si>
  <si>
    <t>16358</t>
  </si>
  <si>
    <t>1635818</t>
  </si>
  <si>
    <t>16359</t>
  </si>
  <si>
    <t>1635918</t>
  </si>
  <si>
    <t>16360</t>
  </si>
  <si>
    <t>1636018</t>
  </si>
  <si>
    <t>16361</t>
  </si>
  <si>
    <t>1636118</t>
  </si>
  <si>
    <t>16362</t>
  </si>
  <si>
    <t>1636244</t>
  </si>
  <si>
    <t>16363</t>
  </si>
  <si>
    <t>1636318</t>
  </si>
  <si>
    <t>16364</t>
  </si>
  <si>
    <t>1636417</t>
  </si>
  <si>
    <t>16365</t>
  </si>
  <si>
    <t>1636517</t>
  </si>
  <si>
    <t>16366</t>
  </si>
  <si>
    <t>1636617</t>
  </si>
  <si>
    <t>16367</t>
  </si>
  <si>
    <t>1636717</t>
  </si>
  <si>
    <t>17368</t>
  </si>
  <si>
    <t>1736818</t>
  </si>
  <si>
    <t>17369</t>
  </si>
  <si>
    <t>1736918</t>
  </si>
  <si>
    <t>17370</t>
  </si>
  <si>
    <t>1737044</t>
  </si>
  <si>
    <t>17371</t>
  </si>
  <si>
    <t>1737118</t>
  </si>
  <si>
    <t>17372</t>
  </si>
  <si>
    <t>1737218</t>
  </si>
  <si>
    <t>17373</t>
  </si>
  <si>
    <t>1737344</t>
  </si>
  <si>
    <t>17374</t>
  </si>
  <si>
    <t>1737444</t>
  </si>
  <si>
    <t>17375</t>
  </si>
  <si>
    <t>1737546</t>
  </si>
  <si>
    <t>17376</t>
  </si>
  <si>
    <t>1737646</t>
  </si>
  <si>
    <t>17377</t>
  </si>
  <si>
    <t>1737746</t>
  </si>
  <si>
    <t>17378</t>
  </si>
  <si>
    <t>1737846</t>
  </si>
  <si>
    <t>17379</t>
  </si>
  <si>
    <t>1737946</t>
  </si>
  <si>
    <t>17380</t>
  </si>
  <si>
    <t>1738046</t>
  </si>
  <si>
    <t>17381</t>
  </si>
  <si>
    <t>1738118</t>
  </si>
  <si>
    <t>17382</t>
  </si>
  <si>
    <t>1738218</t>
  </si>
  <si>
    <t>17383</t>
  </si>
  <si>
    <t>1738318</t>
  </si>
  <si>
    <t>17384</t>
  </si>
  <si>
    <t>1738418</t>
  </si>
  <si>
    <t>17385</t>
  </si>
  <si>
    <t>1738518</t>
  </si>
  <si>
    <t>17386</t>
  </si>
  <si>
    <t>1738644</t>
  </si>
  <si>
    <t>17387</t>
  </si>
  <si>
    <t>1738744</t>
  </si>
  <si>
    <t>17388</t>
  </si>
  <si>
    <t>1738844</t>
  </si>
  <si>
    <t>17389</t>
  </si>
  <si>
    <t>1738944</t>
  </si>
  <si>
    <t>17390</t>
  </si>
  <si>
    <t>1739043</t>
  </si>
  <si>
    <t>17391</t>
  </si>
  <si>
    <t>1739143</t>
  </si>
  <si>
    <t>17392</t>
  </si>
  <si>
    <t>1739243</t>
  </si>
  <si>
    <t>17393</t>
  </si>
  <si>
    <t>1739343</t>
  </si>
  <si>
    <t>17394</t>
  </si>
  <si>
    <t>1739446</t>
  </si>
  <si>
    <t>17395</t>
  </si>
  <si>
    <t>1739546</t>
  </si>
  <si>
    <t>17396</t>
  </si>
  <si>
    <t>1739618</t>
  </si>
  <si>
    <t>17397</t>
  </si>
  <si>
    <t>1739718</t>
  </si>
  <si>
    <t>17398</t>
  </si>
  <si>
    <t>1739846</t>
  </si>
  <si>
    <t>17399</t>
  </si>
  <si>
    <t>1739918</t>
  </si>
  <si>
    <t>17400</t>
  </si>
  <si>
    <t>1740018</t>
  </si>
  <si>
    <t>17401</t>
  </si>
  <si>
    <t>1740118</t>
  </si>
  <si>
    <t>17402</t>
  </si>
  <si>
    <t>1740218</t>
  </si>
  <si>
    <t>17403</t>
  </si>
  <si>
    <t>1740318</t>
  </si>
  <si>
    <t>17404</t>
  </si>
  <si>
    <t>1740418</t>
  </si>
  <si>
    <t>17405</t>
  </si>
  <si>
    <t>1740518</t>
  </si>
  <si>
    <t>17406</t>
  </si>
  <si>
    <t>1740618</t>
  </si>
  <si>
    <t>17407</t>
  </si>
  <si>
    <t>1740718</t>
  </si>
  <si>
    <t>17408</t>
  </si>
  <si>
    <t>1740818</t>
  </si>
  <si>
    <t>17409</t>
  </si>
  <si>
    <t>1740918</t>
  </si>
  <si>
    <t>17410</t>
  </si>
  <si>
    <t>1741018</t>
  </si>
  <si>
    <t>17411</t>
  </si>
  <si>
    <t>1741118</t>
  </si>
  <si>
    <t>17412</t>
  </si>
  <si>
    <t>1741213</t>
  </si>
  <si>
    <t>17413</t>
  </si>
  <si>
    <t>1741318</t>
  </si>
  <si>
    <t>17414</t>
  </si>
  <si>
    <t>1741418</t>
  </si>
  <si>
    <t>17415</t>
  </si>
  <si>
    <t>1741543</t>
  </si>
  <si>
    <t>17416</t>
  </si>
  <si>
    <t>1741618</t>
  </si>
  <si>
    <t>17417</t>
  </si>
  <si>
    <t>1741718</t>
  </si>
  <si>
    <t>17418</t>
  </si>
  <si>
    <t>1741818</t>
  </si>
  <si>
    <t>17419</t>
  </si>
  <si>
    <t>1741918</t>
  </si>
  <si>
    <t>17420</t>
  </si>
  <si>
    <t>1742018</t>
  </si>
  <si>
    <t>17421</t>
  </si>
  <si>
    <t>1742118</t>
  </si>
  <si>
    <t>17422</t>
  </si>
  <si>
    <t>1742244</t>
  </si>
  <si>
    <t>17423</t>
  </si>
  <si>
    <t>1742318</t>
  </si>
  <si>
    <t>18424</t>
  </si>
  <si>
    <t>1842418</t>
  </si>
  <si>
    <t>18425</t>
  </si>
  <si>
    <t>1842518</t>
  </si>
  <si>
    <t>18426</t>
  </si>
  <si>
    <t>1842618</t>
  </si>
  <si>
    <t>18427</t>
  </si>
  <si>
    <t>1842718</t>
  </si>
  <si>
    <t>18428</t>
  </si>
  <si>
    <t>1842818</t>
  </si>
  <si>
    <t>18429</t>
  </si>
  <si>
    <t>1842918</t>
  </si>
  <si>
    <t>18430</t>
  </si>
  <si>
    <t>1843018</t>
  </si>
  <si>
    <t>18431</t>
  </si>
  <si>
    <t>1843118</t>
  </si>
  <si>
    <t>18432</t>
  </si>
  <si>
    <t>1843218</t>
  </si>
  <si>
    <t>18433</t>
  </si>
  <si>
    <t>1843318</t>
  </si>
  <si>
    <t>18434</t>
  </si>
  <si>
    <t>1843418</t>
  </si>
  <si>
    <t>18435</t>
  </si>
  <si>
    <t>1843518</t>
  </si>
  <si>
    <t>18436</t>
  </si>
  <si>
    <t>1843618</t>
  </si>
  <si>
    <t>18437</t>
  </si>
  <si>
    <t>1843718</t>
  </si>
  <si>
    <t>18438</t>
  </si>
  <si>
    <t>1843810</t>
  </si>
  <si>
    <t>18439</t>
  </si>
  <si>
    <t>1843918</t>
  </si>
  <si>
    <t>18440</t>
  </si>
  <si>
    <t>1844010</t>
  </si>
  <si>
    <t>18441</t>
  </si>
  <si>
    <t>1844118</t>
  </si>
  <si>
    <t>18442</t>
  </si>
  <si>
    <t>1844218</t>
  </si>
  <si>
    <t>18443</t>
  </si>
  <si>
    <t>1844318</t>
  </si>
  <si>
    <t>18444</t>
  </si>
  <si>
    <t>1844418</t>
  </si>
  <si>
    <t>18445</t>
  </si>
  <si>
    <t>1844518</t>
  </si>
  <si>
    <t>18446</t>
  </si>
  <si>
    <t>1844618</t>
  </si>
  <si>
    <t>18447</t>
  </si>
  <si>
    <t>1844708</t>
  </si>
  <si>
    <t>18448</t>
  </si>
  <si>
    <t>1844818</t>
  </si>
  <si>
    <t>18449</t>
  </si>
  <si>
    <t>1844918</t>
  </si>
  <si>
    <t>18450</t>
  </si>
  <si>
    <t>1845018</t>
  </si>
  <si>
    <t>18451</t>
  </si>
  <si>
    <t>1845118</t>
  </si>
  <si>
    <t>18452</t>
  </si>
  <si>
    <t>1845218</t>
  </si>
  <si>
    <t>18453</t>
  </si>
  <si>
    <t>1845318</t>
  </si>
  <si>
    <t>18454</t>
  </si>
  <si>
    <t>1845418</t>
  </si>
  <si>
    <t>18455</t>
  </si>
  <si>
    <t>1845518</t>
  </si>
  <si>
    <t>19456</t>
  </si>
  <si>
    <t>1945617</t>
  </si>
  <si>
    <t>19457</t>
  </si>
  <si>
    <t>1945717</t>
  </si>
  <si>
    <t>19458</t>
  </si>
  <si>
    <t>1945817</t>
  </si>
  <si>
    <t>19459</t>
  </si>
  <si>
    <t>1945917</t>
  </si>
  <si>
    <t>19460</t>
  </si>
  <si>
    <t>1946008</t>
  </si>
  <si>
    <t>19461</t>
  </si>
  <si>
    <t>1946108</t>
  </si>
  <si>
    <t>19462</t>
  </si>
  <si>
    <t>1946218</t>
  </si>
  <si>
    <t>19463</t>
  </si>
  <si>
    <t>1946318</t>
  </si>
  <si>
    <t>19464</t>
  </si>
  <si>
    <t>1946446</t>
  </si>
  <si>
    <t>19465</t>
  </si>
  <si>
    <t>1946508</t>
  </si>
  <si>
    <t>19466</t>
  </si>
  <si>
    <t>1946608</t>
  </si>
  <si>
    <t>19467</t>
  </si>
  <si>
    <t>1946717</t>
  </si>
  <si>
    <t>19468</t>
  </si>
  <si>
    <t>1946808</t>
  </si>
  <si>
    <t>19469</t>
  </si>
  <si>
    <t>1946917</t>
  </si>
  <si>
    <t>19470</t>
  </si>
  <si>
    <t>1947017</t>
  </si>
  <si>
    <t>19471</t>
  </si>
  <si>
    <t>1947118</t>
  </si>
  <si>
    <t>19472</t>
  </si>
  <si>
    <t>1947218</t>
  </si>
  <si>
    <t>19473</t>
  </si>
  <si>
    <t>1947318</t>
  </si>
  <si>
    <t>19474</t>
  </si>
  <si>
    <t>1947418</t>
  </si>
  <si>
    <t>19475</t>
  </si>
  <si>
    <t>1947518</t>
  </si>
  <si>
    <t>19476</t>
  </si>
  <si>
    <t>1947618</t>
  </si>
  <si>
    <t>19477</t>
  </si>
  <si>
    <t>1947718</t>
  </si>
  <si>
    <t>19478</t>
  </si>
  <si>
    <t>1947808</t>
  </si>
  <si>
    <t>19479</t>
  </si>
  <si>
    <t>1947908</t>
  </si>
  <si>
    <t>19480</t>
  </si>
  <si>
    <t>1948018</t>
  </si>
  <si>
    <t>19481</t>
  </si>
  <si>
    <t>1948118</t>
  </si>
  <si>
    <t>19482</t>
  </si>
  <si>
    <t>1948208</t>
  </si>
  <si>
    <t>19483</t>
  </si>
  <si>
    <t>1948308</t>
  </si>
  <si>
    <t>19484</t>
  </si>
  <si>
    <t>1948417</t>
  </si>
  <si>
    <t>19485</t>
  </si>
  <si>
    <t>1948517</t>
  </si>
  <si>
    <t>19486</t>
  </si>
  <si>
    <t>1948618</t>
  </si>
  <si>
    <t>19487</t>
  </si>
  <si>
    <t>1948708</t>
  </si>
  <si>
    <t>19488</t>
  </si>
  <si>
    <t>1948808</t>
  </si>
  <si>
    <t>19489</t>
  </si>
  <si>
    <t>1948918</t>
  </si>
  <si>
    <t>20490</t>
  </si>
  <si>
    <t>2049017</t>
  </si>
  <si>
    <t>20492</t>
  </si>
  <si>
    <t>2049246</t>
  </si>
  <si>
    <t>20493</t>
  </si>
  <si>
    <t>2049317</t>
  </si>
  <si>
    <t>20494</t>
  </si>
  <si>
    <t>2049417</t>
  </si>
  <si>
    <t>20495</t>
  </si>
  <si>
    <t>2049517</t>
  </si>
  <si>
    <t>20496</t>
  </si>
  <si>
    <t>2049646</t>
  </si>
  <si>
    <t>20497</t>
  </si>
  <si>
    <t>2049717</t>
  </si>
  <si>
    <t>20498</t>
  </si>
  <si>
    <t>2049817</t>
  </si>
  <si>
    <t>20499</t>
  </si>
  <si>
    <t>2049917</t>
  </si>
  <si>
    <t>20500</t>
  </si>
  <si>
    <t>2050017</t>
  </si>
  <si>
    <t>20501</t>
  </si>
  <si>
    <t>2050117</t>
  </si>
  <si>
    <t>20502</t>
  </si>
  <si>
    <t>2050217</t>
  </si>
  <si>
    <t>20503</t>
  </si>
  <si>
    <t>2050317</t>
  </si>
  <si>
    <t>20504</t>
  </si>
  <si>
    <t>2050417</t>
  </si>
  <si>
    <t>20505</t>
  </si>
  <si>
    <t>2050517</t>
  </si>
  <si>
    <t>21506</t>
  </si>
  <si>
    <t>2150616</t>
  </si>
  <si>
    <t>21507</t>
  </si>
  <si>
    <t>2150717</t>
  </si>
  <si>
    <t>21508</t>
  </si>
  <si>
    <t>2150816</t>
  </si>
  <si>
    <t>21509</t>
  </si>
  <si>
    <t>2150917</t>
  </si>
  <si>
    <t>21510</t>
  </si>
  <si>
    <t>2151016</t>
  </si>
  <si>
    <t>21511</t>
  </si>
  <si>
    <t>2151117</t>
  </si>
  <si>
    <t>21512</t>
  </si>
  <si>
    <t>2151211</t>
  </si>
  <si>
    <t>21513</t>
  </si>
  <si>
    <t>2151317</t>
  </si>
  <si>
    <t>21514</t>
  </si>
  <si>
    <t>2151416</t>
  </si>
  <si>
    <t>21515</t>
  </si>
  <si>
    <t>2151517</t>
  </si>
  <si>
    <t>21516</t>
  </si>
  <si>
    <t>2151617</t>
  </si>
  <si>
    <t>21517</t>
  </si>
  <si>
    <t>2151717</t>
  </si>
  <si>
    <t>21518</t>
  </si>
  <si>
    <t>2151815</t>
  </si>
  <si>
    <t>21519</t>
  </si>
  <si>
    <t>2151917</t>
  </si>
  <si>
    <t>21520</t>
  </si>
  <si>
    <t>2152015</t>
  </si>
  <si>
    <t>21521</t>
  </si>
  <si>
    <t>2152117</t>
  </si>
  <si>
    <t>21522</t>
  </si>
  <si>
    <t>2152215</t>
  </si>
  <si>
    <t>21523</t>
  </si>
  <si>
    <t>2152317</t>
  </si>
  <si>
    <t>21524</t>
  </si>
  <si>
    <t>2152417</t>
  </si>
  <si>
    <t>21525</t>
  </si>
  <si>
    <t>2152546</t>
  </si>
  <si>
    <t>21526</t>
  </si>
  <si>
    <t>2152617</t>
  </si>
  <si>
    <t>21527</t>
  </si>
  <si>
    <t>2152718</t>
  </si>
  <si>
    <t>21528</t>
  </si>
  <si>
    <t>2152817</t>
  </si>
  <si>
    <t>21529</t>
  </si>
  <si>
    <t>2152910</t>
  </si>
  <si>
    <t>21530</t>
  </si>
  <si>
    <t>2153018</t>
  </si>
  <si>
    <t>21531</t>
  </si>
  <si>
    <t>2153118</t>
  </si>
  <si>
    <t>21532</t>
  </si>
  <si>
    <t>2153210</t>
  </si>
  <si>
    <t>21533</t>
  </si>
  <si>
    <t>2153318</t>
  </si>
  <si>
    <t>21534</t>
  </si>
  <si>
    <t>2153410</t>
  </si>
  <si>
    <t>21535</t>
  </si>
  <si>
    <t>2153518</t>
  </si>
  <si>
    <t>21536</t>
  </si>
  <si>
    <t>2153610</t>
  </si>
  <si>
    <t>21537</t>
  </si>
  <si>
    <t>2153718</t>
  </si>
  <si>
    <t>21538</t>
  </si>
  <si>
    <t>2153846</t>
  </si>
  <si>
    <t>21539</t>
  </si>
  <si>
    <t>2153917</t>
  </si>
  <si>
    <t>21540</t>
  </si>
  <si>
    <t>2154017</t>
  </si>
  <si>
    <t>21541</t>
  </si>
  <si>
    <t>2154117</t>
  </si>
  <si>
    <t>21542</t>
  </si>
  <si>
    <t>2154217</t>
  </si>
  <si>
    <t>21543</t>
  </si>
  <si>
    <t>2154317</t>
  </si>
  <si>
    <t>21544</t>
  </si>
  <si>
    <t>2154417</t>
  </si>
  <si>
    <t>21545</t>
  </si>
  <si>
    <t>2154517</t>
  </si>
  <si>
    <t>21546</t>
  </si>
  <si>
    <t>2154617</t>
  </si>
  <si>
    <t>21547</t>
  </si>
  <si>
    <t>2154717</t>
  </si>
  <si>
    <t>21548</t>
  </si>
  <si>
    <t>2154817</t>
  </si>
  <si>
    <t>21549</t>
  </si>
  <si>
    <t>2154917</t>
  </si>
  <si>
    <t>21550</t>
  </si>
  <si>
    <t>2155017</t>
  </si>
  <si>
    <t>21551</t>
  </si>
  <si>
    <t>2155117</t>
  </si>
  <si>
    <t>21552</t>
  </si>
  <si>
    <t>2155217</t>
  </si>
  <si>
    <t>21553</t>
  </si>
  <si>
    <t>2155317</t>
  </si>
  <si>
    <t>21554</t>
  </si>
  <si>
    <t>2155417</t>
  </si>
  <si>
    <t>21555</t>
  </si>
  <si>
    <t>2155517</t>
  </si>
  <si>
    <t>21556</t>
  </si>
  <si>
    <t>2155617</t>
  </si>
  <si>
    <t>22557</t>
  </si>
  <si>
    <t>2255711</t>
  </si>
  <si>
    <t>22558</t>
  </si>
  <si>
    <t>2255817</t>
  </si>
  <si>
    <t>22559</t>
  </si>
  <si>
    <t>2255911</t>
  </si>
  <si>
    <t>22560</t>
  </si>
  <si>
    <t>2256017</t>
  </si>
  <si>
    <t>22561</t>
  </si>
  <si>
    <t>2256111</t>
  </si>
  <si>
    <t>22562</t>
  </si>
  <si>
    <t>2256217</t>
  </si>
  <si>
    <t>22563</t>
  </si>
  <si>
    <t>2256317</t>
  </si>
  <si>
    <t>22564</t>
  </si>
  <si>
    <t>2256417</t>
  </si>
  <si>
    <t>22565</t>
  </si>
  <si>
    <t>2256517</t>
  </si>
  <si>
    <t>22566</t>
  </si>
  <si>
    <t>2256617</t>
  </si>
  <si>
    <t>22567</t>
  </si>
  <si>
    <t>2256717</t>
  </si>
  <si>
    <t>22568</t>
  </si>
  <si>
    <t>2256818</t>
  </si>
  <si>
    <t>22569</t>
  </si>
  <si>
    <t>2256917</t>
  </si>
  <si>
    <t>22570</t>
  </si>
  <si>
    <t>2257018</t>
  </si>
  <si>
    <t>22571</t>
  </si>
  <si>
    <t>2257117</t>
  </si>
  <si>
    <t>22572</t>
  </si>
  <si>
    <t>2257217</t>
  </si>
  <si>
    <t>22573</t>
  </si>
  <si>
    <t>2257317</t>
  </si>
  <si>
    <t>22574</t>
  </si>
  <si>
    <t>2257417</t>
  </si>
  <si>
    <t>22575</t>
  </si>
  <si>
    <t>2257518</t>
  </si>
  <si>
    <t>22576</t>
  </si>
  <si>
    <t>2257608</t>
  </si>
  <si>
    <t>22577</t>
  </si>
  <si>
    <t>2257746</t>
  </si>
  <si>
    <t>22578</t>
  </si>
  <si>
    <t>2257846</t>
  </si>
  <si>
    <t>22579</t>
  </si>
  <si>
    <t>2257946</t>
  </si>
  <si>
    <t>22580</t>
  </si>
  <si>
    <t>2258018</t>
  </si>
  <si>
    <t>22581</t>
  </si>
  <si>
    <t>2258108</t>
  </si>
  <si>
    <t>22582</t>
  </si>
  <si>
    <t>2258217</t>
  </si>
  <si>
    <t>22583</t>
  </si>
  <si>
    <t>2258317</t>
  </si>
  <si>
    <t>22584</t>
  </si>
  <si>
    <t>2258417</t>
  </si>
  <si>
    <t>22585</t>
  </si>
  <si>
    <t>2258518</t>
  </si>
  <si>
    <t>22586</t>
  </si>
  <si>
    <t>2258617</t>
  </si>
  <si>
    <t>22587</t>
  </si>
  <si>
    <t>2258717</t>
  </si>
  <si>
    <t>22588</t>
  </si>
  <si>
    <t>2258817</t>
  </si>
  <si>
    <t>22589</t>
  </si>
  <si>
    <t>2258918</t>
  </si>
  <si>
    <t>22590</t>
  </si>
  <si>
    <t>2259017</t>
  </si>
  <si>
    <t>22591</t>
  </si>
  <si>
    <t>2259117</t>
  </si>
  <si>
    <t>22592</t>
  </si>
  <si>
    <t>2259218</t>
  </si>
  <si>
    <t>22593</t>
  </si>
  <si>
    <t>2259317</t>
  </si>
  <si>
    <t>22594</t>
  </si>
  <si>
    <t>2259417</t>
  </si>
  <si>
    <t>22595</t>
  </si>
  <si>
    <t>2259517</t>
  </si>
  <si>
    <t>22596</t>
  </si>
  <si>
    <t>2259617</t>
  </si>
  <si>
    <t>22597</t>
  </si>
  <si>
    <t>2259717</t>
  </si>
  <si>
    <t>22598</t>
  </si>
  <si>
    <t>2259817</t>
  </si>
  <si>
    <t>22599</t>
  </si>
  <si>
    <t>2259917</t>
  </si>
  <si>
    <t>22600</t>
  </si>
  <si>
    <t>2260017</t>
  </si>
  <si>
    <t>22601</t>
  </si>
  <si>
    <t>2260117</t>
  </si>
  <si>
    <t>22602</t>
  </si>
  <si>
    <t>2260217</t>
  </si>
  <si>
    <t>22603</t>
  </si>
  <si>
    <t>2260317</t>
  </si>
  <si>
    <t>22604</t>
  </si>
  <si>
    <t>2260417</t>
  </si>
  <si>
    <t>22605</t>
  </si>
  <si>
    <t>2260517</t>
  </si>
  <si>
    <t>22606</t>
  </si>
  <si>
    <t>2260617</t>
  </si>
  <si>
    <t>22607</t>
  </si>
  <si>
    <t>2260717</t>
  </si>
  <si>
    <t>22608</t>
  </si>
  <si>
    <t>2260817</t>
  </si>
  <si>
    <t>22609</t>
  </si>
  <si>
    <t>2260917</t>
  </si>
  <si>
    <t>22610</t>
  </si>
  <si>
    <t>2261017</t>
  </si>
  <si>
    <t>22611</t>
  </si>
  <si>
    <t>2261117</t>
  </si>
  <si>
    <t>22612</t>
  </si>
  <si>
    <t>2261217</t>
  </si>
  <si>
    <t>22613</t>
  </si>
  <si>
    <t>2261317</t>
  </si>
  <si>
    <t>22614</t>
  </si>
  <si>
    <t>2261417</t>
  </si>
  <si>
    <t>22615</t>
  </si>
  <si>
    <t>2261517</t>
  </si>
  <si>
    <t>22616</t>
  </si>
  <si>
    <t>2261617</t>
  </si>
  <si>
    <t>22617</t>
  </si>
  <si>
    <t>2261717</t>
  </si>
  <si>
    <t>22618</t>
  </si>
  <si>
    <t>2261817</t>
  </si>
  <si>
    <t>22619</t>
  </si>
  <si>
    <t>2261908</t>
  </si>
  <si>
    <t>22620</t>
  </si>
  <si>
    <t>2262017</t>
  </si>
  <si>
    <t>22621</t>
  </si>
  <si>
    <t>2262108</t>
  </si>
  <si>
    <t>22622</t>
  </si>
  <si>
    <t>2262217</t>
  </si>
  <si>
    <t>22623</t>
  </si>
  <si>
    <t>2262317</t>
  </si>
  <si>
    <t>22624</t>
  </si>
  <si>
    <t>2262417</t>
  </si>
  <si>
    <t>22625</t>
  </si>
  <si>
    <t>2262517</t>
  </si>
  <si>
    <t>22626</t>
  </si>
  <si>
    <t>2262618</t>
  </si>
  <si>
    <t>22627</t>
  </si>
  <si>
    <t>2262718</t>
  </si>
  <si>
    <t>22628</t>
  </si>
  <si>
    <t>2262817</t>
  </si>
  <si>
    <t>22629</t>
  </si>
  <si>
    <t>2262918</t>
  </si>
  <si>
    <t>22630</t>
  </si>
  <si>
    <t>2263017</t>
  </si>
  <si>
    <t>22631</t>
  </si>
  <si>
    <t>2263118</t>
  </si>
  <si>
    <t>22632</t>
  </si>
  <si>
    <t>2263218</t>
  </si>
  <si>
    <t>22633</t>
  </si>
  <si>
    <t>2263317</t>
  </si>
  <si>
    <t>22634</t>
  </si>
  <si>
    <t>2263417</t>
  </si>
  <si>
    <t>22635</t>
  </si>
  <si>
    <t>2263517</t>
  </si>
  <si>
    <t>22636</t>
  </si>
  <si>
    <t>2263608</t>
  </si>
  <si>
    <t>22637</t>
  </si>
  <si>
    <t>2263718</t>
  </si>
  <si>
    <t>22638</t>
  </si>
  <si>
    <t>2263817</t>
  </si>
  <si>
    <t>22639</t>
  </si>
  <si>
    <t>2263918</t>
  </si>
  <si>
    <t>23640</t>
  </si>
  <si>
    <t>2364017</t>
  </si>
  <si>
    <t>23641</t>
  </si>
  <si>
    <t>2364117</t>
  </si>
  <si>
    <t>23642</t>
  </si>
  <si>
    <t>2364217</t>
  </si>
  <si>
    <t>23643</t>
  </si>
  <si>
    <t>2364317</t>
  </si>
  <si>
    <t>23644</t>
  </si>
  <si>
    <t>2364417</t>
  </si>
  <si>
    <t>23645</t>
  </si>
  <si>
    <t>2364517</t>
  </si>
  <si>
    <t>23646</t>
  </si>
  <si>
    <t>2364617</t>
  </si>
  <si>
    <t>23647</t>
  </si>
  <si>
    <t>2364717</t>
  </si>
  <si>
    <t>23648</t>
  </si>
  <si>
    <t>2364817</t>
  </si>
  <si>
    <t>23649</t>
  </si>
  <si>
    <t>2364917</t>
  </si>
  <si>
    <t>23650</t>
  </si>
  <si>
    <t>2365017</t>
  </si>
  <si>
    <t>24651</t>
  </si>
  <si>
    <t>2465103</t>
  </si>
  <si>
    <t>24652</t>
  </si>
  <si>
    <t>2465217</t>
  </si>
  <si>
    <t>24653</t>
  </si>
  <si>
    <t>2465317</t>
  </si>
  <si>
    <t>24654</t>
  </si>
  <si>
    <t>2465417</t>
  </si>
  <si>
    <t>24655</t>
  </si>
  <si>
    <t>2465511</t>
  </si>
  <si>
    <t>24656</t>
  </si>
  <si>
    <t>2465617</t>
  </si>
  <si>
    <t>24657</t>
  </si>
  <si>
    <t>2465717</t>
  </si>
  <si>
    <t>24658</t>
  </si>
  <si>
    <t>2465817</t>
  </si>
  <si>
    <t>24659</t>
  </si>
  <si>
    <t>2465917</t>
  </si>
  <si>
    <t>25660</t>
  </si>
  <si>
    <t>2566046</t>
  </si>
  <si>
    <t>25661</t>
  </si>
  <si>
    <t>2566146</t>
  </si>
  <si>
    <t>25662</t>
  </si>
  <si>
    <t>2566246</t>
  </si>
  <si>
    <t>25663</t>
  </si>
  <si>
    <t>2566346</t>
  </si>
  <si>
    <t>25664</t>
  </si>
  <si>
    <t>2566446</t>
  </si>
  <si>
    <t>25665</t>
  </si>
  <si>
    <t>2566546</t>
  </si>
  <si>
    <t>26666</t>
  </si>
  <si>
    <t>2666617</t>
  </si>
  <si>
    <t>27667</t>
  </si>
  <si>
    <t>2766704</t>
  </si>
  <si>
    <t>27668</t>
  </si>
  <si>
    <t>2766804</t>
  </si>
  <si>
    <t>27669</t>
  </si>
  <si>
    <t>2766904</t>
  </si>
  <si>
    <t>27670</t>
  </si>
  <si>
    <t>2767004</t>
  </si>
  <si>
    <t>27671</t>
  </si>
  <si>
    <t>2767141</t>
  </si>
  <si>
    <t>rok 2010</t>
  </si>
  <si>
    <t>rok 2011</t>
  </si>
  <si>
    <t>rok 2012</t>
  </si>
  <si>
    <t>rok 2013</t>
  </si>
  <si>
    <t>rok 2014</t>
  </si>
  <si>
    <t>rok 2015</t>
  </si>
  <si>
    <t>2010</t>
  </si>
  <si>
    <t>2011</t>
  </si>
  <si>
    <t>2012</t>
  </si>
  <si>
    <t>2013</t>
  </si>
  <si>
    <t>2014</t>
  </si>
  <si>
    <t>2015</t>
  </si>
  <si>
    <t>WĘGIEL KAMIENNY I WĘGIEL BRUNATNY (LIGNIT)</t>
  </si>
  <si>
    <t>PKWiU</t>
  </si>
  <si>
    <t>Nazwa</t>
  </si>
  <si>
    <t>00</t>
  </si>
  <si>
    <t xml:space="preserve">O G Ó Ł E M </t>
  </si>
  <si>
    <t>05.1</t>
  </si>
  <si>
    <t>05.10</t>
  </si>
  <si>
    <t>05.2</t>
  </si>
  <si>
    <t>Węgiel brunatny (lignit)</t>
  </si>
  <si>
    <t>05.20</t>
  </si>
  <si>
    <t>#</t>
  </si>
  <si>
    <t>08.1</t>
  </si>
  <si>
    <t>Kamień, piasek i glina</t>
  </si>
  <si>
    <t>08.11</t>
  </si>
  <si>
    <t>Kamień ozdobny lub budowlany, wapień, gips, kreda i łupek</t>
  </si>
  <si>
    <t>08.12</t>
  </si>
  <si>
    <t>Żwir, piasek, glina i kaolin</t>
  </si>
  <si>
    <t>08.9</t>
  </si>
  <si>
    <t>Produkty górnictwa i wydobywania, gdzie indziej niesklasyfikowane</t>
  </si>
  <si>
    <t>08.91</t>
  </si>
  <si>
    <t>Minerały chemiczne i minerały do produkcji nawozów</t>
  </si>
  <si>
    <t>08.92</t>
  </si>
  <si>
    <t>Torf</t>
  </si>
  <si>
    <t>08.93</t>
  </si>
  <si>
    <t>Sól i czysty chlorek sodu; woda morska</t>
  </si>
  <si>
    <t>08.99</t>
  </si>
  <si>
    <t>Pozostałe produkty górnictwa i wydobywania, gdzie indziej niesklasyfikowane</t>
  </si>
  <si>
    <t>10.1</t>
  </si>
  <si>
    <t>Mięso i wyroby z mięsa, zakonserwowane</t>
  </si>
  <si>
    <t>10.11</t>
  </si>
  <si>
    <t>Mięso przetworzone i zakonserwowane, z wyłączeniem mięsa z drobiu</t>
  </si>
  <si>
    <t>10.12</t>
  </si>
  <si>
    <t>Mięso z drobiu przetworzone i zakonserwowane</t>
  </si>
  <si>
    <t>10.13</t>
  </si>
  <si>
    <t>Wyroby z mięsa, włączając mięso drobiowe</t>
  </si>
  <si>
    <t>10.2</t>
  </si>
  <si>
    <t>Ryby, skorupiaki i mięczaki, przetworzone i zakonserwowane</t>
  </si>
  <si>
    <t>10.20</t>
  </si>
  <si>
    <t>10.3</t>
  </si>
  <si>
    <t>Owoce i warzywa przetworzone i zakonserwowane</t>
  </si>
  <si>
    <t>10.31</t>
  </si>
  <si>
    <t>Ziemniaki przetworzone i zakonserwowane</t>
  </si>
  <si>
    <t>10.32</t>
  </si>
  <si>
    <t>10.39</t>
  </si>
  <si>
    <t>Pozostałe owoce i warzywa przetworzone i zakonserwowane</t>
  </si>
  <si>
    <t>10.4</t>
  </si>
  <si>
    <t>Oleje i tłuszcze zwierzęce i roślinne</t>
  </si>
  <si>
    <t>10.41</t>
  </si>
  <si>
    <t>Oleje i tłuszcze zwierzęce i roślinne, z wyłączeniem margaryny  i podobnych produktów</t>
  </si>
  <si>
    <t>10.42</t>
  </si>
  <si>
    <t>Margaryna i podobne tłuszcze jadalne</t>
  </si>
  <si>
    <t>10.5</t>
  </si>
  <si>
    <t>Wyroby mleczarskie</t>
  </si>
  <si>
    <t>10.51</t>
  </si>
  <si>
    <t>Mleko i przetwory mleczne</t>
  </si>
  <si>
    <t>10.52</t>
  </si>
  <si>
    <t>10.6</t>
  </si>
  <si>
    <t>Produkty przemiału zbóż, skrobie i wyroby skrobiowe</t>
  </si>
  <si>
    <t>10.61</t>
  </si>
  <si>
    <t>Produkty przemiału zbóż</t>
  </si>
  <si>
    <t>10.62</t>
  </si>
  <si>
    <t>Skrobia i wyroby skrobiowe</t>
  </si>
  <si>
    <t>10.7</t>
  </si>
  <si>
    <t>Wyroby piekarskie i mączne</t>
  </si>
  <si>
    <t>10.71</t>
  </si>
  <si>
    <t>Pieczywo; świeże wyroby ciastkarskie i ciastka</t>
  </si>
  <si>
    <t>10.72</t>
  </si>
  <si>
    <t>Suchary i herbatniki; konserwowane wyroby ciastkarskie i ciastka</t>
  </si>
  <si>
    <t>10.73</t>
  </si>
  <si>
    <t>Makarony, pierogi, kluski, kuskus i podobne wyroby mączne</t>
  </si>
  <si>
    <t>10.8</t>
  </si>
  <si>
    <t>Pozostałe artykuły spożywcze</t>
  </si>
  <si>
    <t>10.81</t>
  </si>
  <si>
    <t>Cukier</t>
  </si>
  <si>
    <t>10.82</t>
  </si>
  <si>
    <t>Kakao, czekolada i wyroby cukiernicze</t>
  </si>
  <si>
    <t>10.83</t>
  </si>
  <si>
    <t>Kawa i herbata przetworzone</t>
  </si>
  <si>
    <t>10.84</t>
  </si>
  <si>
    <t>Przyprawy</t>
  </si>
  <si>
    <t>10.85</t>
  </si>
  <si>
    <t>Gotowe posiłki i dania</t>
  </si>
  <si>
    <t>10.86</t>
  </si>
  <si>
    <t>Przetwory homogenizowane oraz żywność dietetyczna</t>
  </si>
  <si>
    <t>10.89</t>
  </si>
  <si>
    <t>Pozostałe artykuły spożywcze, gdzie indziej niesklasyfikowane</t>
  </si>
  <si>
    <t>10.9</t>
  </si>
  <si>
    <t>Gotowe pasze i gotowa karma dla zwierząt</t>
  </si>
  <si>
    <t>10.91</t>
  </si>
  <si>
    <t>10.92</t>
  </si>
  <si>
    <t>11.0</t>
  </si>
  <si>
    <t>Napoje</t>
  </si>
  <si>
    <t>11.01</t>
  </si>
  <si>
    <t>Napoje spirytusowe</t>
  </si>
  <si>
    <t>11.02</t>
  </si>
  <si>
    <t>11.03</t>
  </si>
  <si>
    <t>Pozostałe wyroby winiarskie</t>
  </si>
  <si>
    <t>11.04</t>
  </si>
  <si>
    <t>Wermut i pozostałe wina aromatyzowane, ze świeżych winogron</t>
  </si>
  <si>
    <t>11.05</t>
  </si>
  <si>
    <t>Piwo</t>
  </si>
  <si>
    <t>11.06</t>
  </si>
  <si>
    <t>11.07</t>
  </si>
  <si>
    <t>Napoje bezalkoholowe; wody mineralne i pozostałe wody butelkowane</t>
  </si>
  <si>
    <t>12.0</t>
  </si>
  <si>
    <t>12.00</t>
  </si>
  <si>
    <t>13.1</t>
  </si>
  <si>
    <t>Przędza i nici</t>
  </si>
  <si>
    <t>13.10</t>
  </si>
  <si>
    <t>13.2</t>
  </si>
  <si>
    <t>Tkaniny</t>
  </si>
  <si>
    <t>13.20</t>
  </si>
  <si>
    <t>13.9</t>
  </si>
  <si>
    <t>Pozostałe wyroby tekstylne</t>
  </si>
  <si>
    <t>13.91</t>
  </si>
  <si>
    <t>Dzianiny metrażowe</t>
  </si>
  <si>
    <t>13.92</t>
  </si>
  <si>
    <t>Gotowe wyroby tekstylne</t>
  </si>
  <si>
    <t>13.93</t>
  </si>
  <si>
    <t>Dywany, chodniki i pozostałe tekstylne pokrycia podłogowe</t>
  </si>
  <si>
    <t>13.94</t>
  </si>
  <si>
    <t>Wyroby powroźnicze, liny, szpagaty i wyroby sieciowe</t>
  </si>
  <si>
    <t>13.95</t>
  </si>
  <si>
    <t>Włókniny i wyroby wykonane z włóknin, z wyłączeniem odzieży</t>
  </si>
  <si>
    <t>13.96</t>
  </si>
  <si>
    <t>Pozostałe tekstylne wyroby techniczne i przemysłowe</t>
  </si>
  <si>
    <t>13.99</t>
  </si>
  <si>
    <t>Wyroby tekstylne, gdzie indziej niesklasyfikowane</t>
  </si>
  <si>
    <t>14.1</t>
  </si>
  <si>
    <t>Odzież, z wyłączeniem wyrobów futrzarskich</t>
  </si>
  <si>
    <t>14.11</t>
  </si>
  <si>
    <t>Odzież skórzana</t>
  </si>
  <si>
    <t>14.12</t>
  </si>
  <si>
    <t>Odzież robocza i ochronna</t>
  </si>
  <si>
    <t>14.13</t>
  </si>
  <si>
    <t>Pozostała odzież wierzchnia</t>
  </si>
  <si>
    <t>14.14</t>
  </si>
  <si>
    <t>Bielizna</t>
  </si>
  <si>
    <t>14.19</t>
  </si>
  <si>
    <t>Pozostała odzież i dodatki odzieżowe</t>
  </si>
  <si>
    <t>14.2</t>
  </si>
  <si>
    <t>Wyroby futrzarskie</t>
  </si>
  <si>
    <t>14.20</t>
  </si>
  <si>
    <t>14.3</t>
  </si>
  <si>
    <t>Wyroby dziane</t>
  </si>
  <si>
    <t>14.31</t>
  </si>
  <si>
    <t>14.39</t>
  </si>
  <si>
    <t>Pozostała odzież dziana</t>
  </si>
  <si>
    <t>15.1</t>
  </si>
  <si>
    <t>15.11</t>
  </si>
  <si>
    <t>Skóry wyprawione i garbowane; skóry futerkowe wyprawione i barwione</t>
  </si>
  <si>
    <t>15.12</t>
  </si>
  <si>
    <t>Wyroby rymarskie; torby bagażowe, torebki ręczne i podobne wyroby kaletnicze</t>
  </si>
  <si>
    <t>15.2</t>
  </si>
  <si>
    <t>Obuwie</t>
  </si>
  <si>
    <t>15.20</t>
  </si>
  <si>
    <t>16.1</t>
  </si>
  <si>
    <t>Drewno przetarte i strugane</t>
  </si>
  <si>
    <t>16.10</t>
  </si>
  <si>
    <t>16.2</t>
  </si>
  <si>
    <t>Wyroby z drewna, korka, słomy i materiałów w rodzaju stosowanych do wyplatania</t>
  </si>
  <si>
    <t>16.21</t>
  </si>
  <si>
    <t>Fornir i płyty na bazie drewna</t>
  </si>
  <si>
    <t>16.22</t>
  </si>
  <si>
    <t>Gotowe płyty podłogowe</t>
  </si>
  <si>
    <t>16.23</t>
  </si>
  <si>
    <t>Pozostałe wyroby stolarskie i ciesielskie dla budownictwa</t>
  </si>
  <si>
    <t>16.24</t>
  </si>
  <si>
    <t>Opakowania drewniane</t>
  </si>
  <si>
    <t>16.29</t>
  </si>
  <si>
    <t>Pozostałe wyroby z drewna; wyroby z korka, słomy i materiałów  w rodzaju stosowanych do wyplatania</t>
  </si>
  <si>
    <t>17.1</t>
  </si>
  <si>
    <t>Masa włóknista, papier i tektura</t>
  </si>
  <si>
    <t>17.11</t>
  </si>
  <si>
    <t>Masa włóknista</t>
  </si>
  <si>
    <t>17.12</t>
  </si>
  <si>
    <t>17.2</t>
  </si>
  <si>
    <t>Wyroby z papieru i tektury</t>
  </si>
  <si>
    <t>17.21</t>
  </si>
  <si>
    <t>Papier falisty i tektura falista oraz opakowania z papieru i tektury</t>
  </si>
  <si>
    <t>17.22</t>
  </si>
  <si>
    <t>Artykuły dla gospodarstw domowych, toaletowe i sanitarne, z papieru</t>
  </si>
  <si>
    <t>17.23</t>
  </si>
  <si>
    <t>Artykuły piśmienne</t>
  </si>
  <si>
    <t>17.24</t>
  </si>
  <si>
    <t>Tapety</t>
  </si>
  <si>
    <t>17.29</t>
  </si>
  <si>
    <t>Pozostałe wyroby z papieru i tektury</t>
  </si>
  <si>
    <t>USŁUGI POLIGRAFICZNE I USŁUGI REPRODUKCJI ZAPISANYCH NOŚNIKÓW INFORMACJI</t>
  </si>
  <si>
    <t>18.1</t>
  </si>
  <si>
    <t>Usługi poligraficzne i usługi pokrewne związane z drukowaniem</t>
  </si>
  <si>
    <t>18.11</t>
  </si>
  <si>
    <t>Usługi drukowania gazet</t>
  </si>
  <si>
    <t>18.12</t>
  </si>
  <si>
    <t>Pozostałe usługi poligraficzne</t>
  </si>
  <si>
    <t>18.13</t>
  </si>
  <si>
    <t>Usługi związane z przygotowaniem do druku i wspomagające drukowanie; wyroby w rodzaju stosowanych do drukowania</t>
  </si>
  <si>
    <t>19.1</t>
  </si>
  <si>
    <t>Produkty pieców koksowniczych</t>
  </si>
  <si>
    <t>19.10</t>
  </si>
  <si>
    <t>19.2</t>
  </si>
  <si>
    <t>Brykiety i podobne paliwa stałe z węgla i torfu oraz produkty rafinacji ropy naftowej</t>
  </si>
  <si>
    <t>19.20</t>
  </si>
  <si>
    <t>20.1</t>
  </si>
  <si>
    <t>Chemikalia podstawowe, nawozy i związki azotowe, tworzywa sztuczne  i kauczuk syntetyczny w formach podstawowych</t>
  </si>
  <si>
    <t>20.11</t>
  </si>
  <si>
    <t>Gazy techniczne</t>
  </si>
  <si>
    <t>20.12</t>
  </si>
  <si>
    <t>Barwniki i pigmenty</t>
  </si>
  <si>
    <t>20.13</t>
  </si>
  <si>
    <t>Pozostałe podstawowe chemikalia nieorganiczne</t>
  </si>
  <si>
    <t>20.14</t>
  </si>
  <si>
    <t>Pozostałe podstawowe chemikalia organiczne</t>
  </si>
  <si>
    <t>20.15</t>
  </si>
  <si>
    <t>Nawozy i związki azotowe</t>
  </si>
  <si>
    <t>20.16</t>
  </si>
  <si>
    <t>Tworzywa sztuczne w formach podstawowych</t>
  </si>
  <si>
    <t>20.17</t>
  </si>
  <si>
    <t>Kauczuk syntetyczny w formach podstawowych</t>
  </si>
  <si>
    <t>20.2</t>
  </si>
  <si>
    <t>Pestycydy i pozostałe środki agrochemiczne</t>
  </si>
  <si>
    <t>20.20</t>
  </si>
  <si>
    <t>20.3</t>
  </si>
  <si>
    <t>20.30</t>
  </si>
  <si>
    <t>20.4</t>
  </si>
  <si>
    <t>Mydło i detergenty, środki piorące, czyszczące i polerujące; wyroby kosmetyczne i toaletowe</t>
  </si>
  <si>
    <t>20.41</t>
  </si>
  <si>
    <t>Mydło i detergenty, środki piorące, czyszczące i polerujące</t>
  </si>
  <si>
    <t>20.42</t>
  </si>
  <si>
    <t>Wyroby kosmetyczne i toaletowe</t>
  </si>
  <si>
    <t>20.5</t>
  </si>
  <si>
    <t>Pozostałe wyroby chemiczne</t>
  </si>
  <si>
    <t>20.51</t>
  </si>
  <si>
    <t>Materiały wybuchowe; zapałki</t>
  </si>
  <si>
    <t>20.52</t>
  </si>
  <si>
    <t>Kleje</t>
  </si>
  <si>
    <t>20.53</t>
  </si>
  <si>
    <t>Olejki eteryczne; mieszaniny substancji zapachowych</t>
  </si>
  <si>
    <t>20.59</t>
  </si>
  <si>
    <t>Pozostałe wyroby chemiczne, gdzie indziej niesklasyfikowane</t>
  </si>
  <si>
    <t>20.6</t>
  </si>
  <si>
    <t>20.60</t>
  </si>
  <si>
    <t>21.1</t>
  </si>
  <si>
    <t>Podstawowe substancje farmaceutyczne</t>
  </si>
  <si>
    <t>21.10</t>
  </si>
  <si>
    <t>21.2</t>
  </si>
  <si>
    <t>Leki i pozostałe wyroby farmaceutyczne</t>
  </si>
  <si>
    <t>21.20</t>
  </si>
  <si>
    <t>22.1</t>
  </si>
  <si>
    <t>22.11</t>
  </si>
  <si>
    <t>Opony i dętki z gumy; bieżnikowane i regenerowane opony z gumy</t>
  </si>
  <si>
    <t>22.19</t>
  </si>
  <si>
    <t>Pozostałe wyroby z gumy</t>
  </si>
  <si>
    <t>22.2</t>
  </si>
  <si>
    <t>Wyroby z tworzyw sztucznych</t>
  </si>
  <si>
    <t>22.21</t>
  </si>
  <si>
    <t>Płyty, arkusze, rury i kształtowniki z tworzyw sztucznych</t>
  </si>
  <si>
    <t>22.22</t>
  </si>
  <si>
    <t>Opakowania z tworzyw sztucznych</t>
  </si>
  <si>
    <t>22.23</t>
  </si>
  <si>
    <t>22.29</t>
  </si>
  <si>
    <t>Pozostałe wyroby z tworzyw sztucznych</t>
  </si>
  <si>
    <t>23.1</t>
  </si>
  <si>
    <t>Szkło i wyroby ze szkła</t>
  </si>
  <si>
    <t>23.11</t>
  </si>
  <si>
    <t>Szkło płaskie</t>
  </si>
  <si>
    <t>23.12</t>
  </si>
  <si>
    <t>Szkło płaskie, profilowane i poddane dalszej obróbce</t>
  </si>
  <si>
    <t>23.13</t>
  </si>
  <si>
    <t>Szkło gospodarcze</t>
  </si>
  <si>
    <t>23.14</t>
  </si>
  <si>
    <t>Włókna szklane</t>
  </si>
  <si>
    <t>23.19</t>
  </si>
  <si>
    <t>Pozostałe szkło przetworzone, włączając szkło techniczne</t>
  </si>
  <si>
    <t>23.2</t>
  </si>
  <si>
    <t>Wyroby ogniotrwałe</t>
  </si>
  <si>
    <t>23.20</t>
  </si>
  <si>
    <t>23.3</t>
  </si>
  <si>
    <t>Materiały budowlane ceramiczne</t>
  </si>
  <si>
    <t>23.31</t>
  </si>
  <si>
    <t>Płytki ceramiczne i płyty chodnikowe ceramiczne</t>
  </si>
  <si>
    <t>23.32</t>
  </si>
  <si>
    <t>Cegły, dachówki i materiały budowlane, z wypalanej gliny</t>
  </si>
  <si>
    <t>23.4</t>
  </si>
  <si>
    <t>Pozostałe wyroby z porcelany i ceramiki</t>
  </si>
  <si>
    <t>23.41</t>
  </si>
  <si>
    <t>Wyroby ceramiczne stołowe i ozdobne</t>
  </si>
  <si>
    <t>23.42</t>
  </si>
  <si>
    <t>23.43</t>
  </si>
  <si>
    <t>Izolatory ceramiczne i elementy ceramicznego osprzętu izolacyjnego</t>
  </si>
  <si>
    <t>23.44</t>
  </si>
  <si>
    <t>Pozostałe wyroby ceramiczne do celów technicznych</t>
  </si>
  <si>
    <t>23.49</t>
  </si>
  <si>
    <t>Pozostałe wyroby ceramiczne</t>
  </si>
  <si>
    <t>23.5</t>
  </si>
  <si>
    <t>Cement, wapno i gips</t>
  </si>
  <si>
    <t>23.51</t>
  </si>
  <si>
    <t>Cement</t>
  </si>
  <si>
    <t>23.52</t>
  </si>
  <si>
    <t>Wapno i gips</t>
  </si>
  <si>
    <t>23.6</t>
  </si>
  <si>
    <t>Wyroby z betonu, cementu i gipsu</t>
  </si>
  <si>
    <t>23.61</t>
  </si>
  <si>
    <t>Wyroby z betonu do celów budowlanych</t>
  </si>
  <si>
    <t>23.62</t>
  </si>
  <si>
    <t>Wyroby z gipsu do celów budowlanych</t>
  </si>
  <si>
    <t>23.63</t>
  </si>
  <si>
    <t>Masa betonowa prefabrykowana</t>
  </si>
  <si>
    <t>23.64</t>
  </si>
  <si>
    <t>23.65</t>
  </si>
  <si>
    <t>Wyroby włókno–cementowe</t>
  </si>
  <si>
    <t>23.69</t>
  </si>
  <si>
    <t>Pozostałe wyroby z betonu, gipsu i cementu</t>
  </si>
  <si>
    <t>23.7</t>
  </si>
  <si>
    <t>Kamienie cięte, formowane i wykończone</t>
  </si>
  <si>
    <t>23.70</t>
  </si>
  <si>
    <t>23.9</t>
  </si>
  <si>
    <t>Wyroby ścierne i pozostałe wyroby z mineralnych surowców niemetalicznych</t>
  </si>
  <si>
    <t>23.91</t>
  </si>
  <si>
    <t>23.99</t>
  </si>
  <si>
    <t>Pozostałe wyroby z mineralnych surowców niemetalicznych, gdzie indziej niesklasyfikowane</t>
  </si>
  <si>
    <t>24.1</t>
  </si>
  <si>
    <t>Żeliwo, stal i żelazostopy</t>
  </si>
  <si>
    <t>24.10</t>
  </si>
  <si>
    <t>24.2</t>
  </si>
  <si>
    <t>Rury, przewody rurowe, profile drążone i łączniki, ze stali</t>
  </si>
  <si>
    <t>24.20</t>
  </si>
  <si>
    <t>24.3</t>
  </si>
  <si>
    <t>Pozostałe wyroby ze stali poddanej wstępnej obróbce</t>
  </si>
  <si>
    <t>24.31</t>
  </si>
  <si>
    <t>Pręty ciągnione na zimno</t>
  </si>
  <si>
    <t>24.32</t>
  </si>
  <si>
    <t>Wyroby płaskie walcowane na zimno, z wyłączeniem wyrobów ze stali krzemowej elektrotechnicznej</t>
  </si>
  <si>
    <t>24.33</t>
  </si>
  <si>
    <t>Wyroby formowane lub profilowane na zimno</t>
  </si>
  <si>
    <t>24.34</t>
  </si>
  <si>
    <t>Drut ciągniony na zimno</t>
  </si>
  <si>
    <t>24.4</t>
  </si>
  <si>
    <t>Metale szlachetne i pozostałe metale nieżelazne</t>
  </si>
  <si>
    <t>24.41</t>
  </si>
  <si>
    <t>Metale szlachetne</t>
  </si>
  <si>
    <t>24.42</t>
  </si>
  <si>
    <t>Aluminium</t>
  </si>
  <si>
    <t>24.43</t>
  </si>
  <si>
    <t>Ołów, cynk i cyna</t>
  </si>
  <si>
    <t>24.44</t>
  </si>
  <si>
    <t>Miedź</t>
  </si>
  <si>
    <t>24.45</t>
  </si>
  <si>
    <t>Pozostałe metale nieżelazne</t>
  </si>
  <si>
    <t>24.5</t>
  </si>
  <si>
    <t>Usługi wykonywania odlewów z metali</t>
  </si>
  <si>
    <t>24.51</t>
  </si>
  <si>
    <t>Usługi wykonywania odlewów żeliwnych</t>
  </si>
  <si>
    <t>24.52</t>
  </si>
  <si>
    <t>Usługi wykonywania odlewów staliwnych</t>
  </si>
  <si>
    <t>24.53</t>
  </si>
  <si>
    <t>Usługi wykonywania odlewów z metali lekkich</t>
  </si>
  <si>
    <t>24.54</t>
  </si>
  <si>
    <t>Usługi wykonywania odlewów z pozostałych metali nieżelaznych</t>
  </si>
  <si>
    <t>25.1</t>
  </si>
  <si>
    <t>Metalowe elementy konstrukcyjne</t>
  </si>
  <si>
    <t>25.11</t>
  </si>
  <si>
    <t>Konstrukcje metalowe i ich części</t>
  </si>
  <si>
    <t>25.12</t>
  </si>
  <si>
    <t>Metalowe elementy stolarki budowlanej</t>
  </si>
  <si>
    <t>25.2</t>
  </si>
  <si>
    <t>Zbiorniki, cysterny i pojemniki metalowe</t>
  </si>
  <si>
    <t>25.21</t>
  </si>
  <si>
    <t>Grzejniki i kotły centralnego ogrzewania</t>
  </si>
  <si>
    <t>25.29</t>
  </si>
  <si>
    <t>Pozostałe zbiorniki, cysterny i pojemniki metalowe</t>
  </si>
  <si>
    <t>25.3</t>
  </si>
  <si>
    <t>Wytwornice pary, z wyłączeniem kotłów centralnego ogrzewania gorącą wodą</t>
  </si>
  <si>
    <t>25.30</t>
  </si>
  <si>
    <t>25.4</t>
  </si>
  <si>
    <t>Broń i amunicja</t>
  </si>
  <si>
    <t>25.40</t>
  </si>
  <si>
    <t>25.5</t>
  </si>
  <si>
    <t>Usługi kucia, prasowania, wytłaczania i walcowania metali; usługi w zakresie metalurgii proszków</t>
  </si>
  <si>
    <t>25.50</t>
  </si>
  <si>
    <t>Usługi kucia, prasowania, wytłaczania i walcowania metali; usługi  w zakresie metalurgii proszków</t>
  </si>
  <si>
    <t>25.6</t>
  </si>
  <si>
    <t>Usługi obróbki metali i nakładania powłok na metale; usługi z zakresu obróbki mechanicznej elementów metalowych</t>
  </si>
  <si>
    <t>25.62</t>
  </si>
  <si>
    <t>Usługi z zakresu obróbki mechanicznej elementów metalowych</t>
  </si>
  <si>
    <t>25.7</t>
  </si>
  <si>
    <t>Wyroby nożownicze, sztućce, narzędzia i wyroby metalowe ogólnego przeznaczenia</t>
  </si>
  <si>
    <t>25.71</t>
  </si>
  <si>
    <t>Wyroby nożownicze i sztućce</t>
  </si>
  <si>
    <t>25.72</t>
  </si>
  <si>
    <t>Zamki i zawiasy</t>
  </si>
  <si>
    <t>25.73</t>
  </si>
  <si>
    <t>Narzędzia</t>
  </si>
  <si>
    <t>25.9</t>
  </si>
  <si>
    <t>Pozostałe gotowe wyroby metalowe</t>
  </si>
  <si>
    <t>25.91</t>
  </si>
  <si>
    <t>Pojemniki metalowe</t>
  </si>
  <si>
    <t>25.92</t>
  </si>
  <si>
    <t>Opakowania z metali</t>
  </si>
  <si>
    <t>25.93</t>
  </si>
  <si>
    <t>25.94</t>
  </si>
  <si>
    <t>Elementy złączne, śruby i wkręty</t>
  </si>
  <si>
    <t>25.99</t>
  </si>
  <si>
    <t>Pozostałe gotowe wyroby metalowe, gdzie indziej niesklasyfikowane</t>
  </si>
  <si>
    <t>26.1</t>
  </si>
  <si>
    <t>Elementy i obwody drukowane, elektroniczne</t>
  </si>
  <si>
    <t>26.11</t>
  </si>
  <si>
    <t>Elementy elektroniczne</t>
  </si>
  <si>
    <t>26.12</t>
  </si>
  <si>
    <t>Elektroniczne obwody drukowane</t>
  </si>
  <si>
    <t>26.2</t>
  </si>
  <si>
    <t>Komputery i urządzenia peryferyjne</t>
  </si>
  <si>
    <t>26.20</t>
  </si>
  <si>
    <t>26.3</t>
  </si>
  <si>
    <t>Sprzęt telekomunikacyjny</t>
  </si>
  <si>
    <t>26.30</t>
  </si>
  <si>
    <t>26.4</t>
  </si>
  <si>
    <t>Elektroniczny sprzęt powszechnego użytku</t>
  </si>
  <si>
    <t>26.40</t>
  </si>
  <si>
    <t>26.5</t>
  </si>
  <si>
    <t>Instrumenty i przyrządy pomiarowe, kontrolne i nawigacyjne; zegarki  i zegary</t>
  </si>
  <si>
    <t>26.51</t>
  </si>
  <si>
    <t>Instrumenty i przyrządy pomiarowe, kontrolne i nawigacyjne</t>
  </si>
  <si>
    <t>26.52</t>
  </si>
  <si>
    <t>Zegarki i zegary</t>
  </si>
  <si>
    <t>26.6</t>
  </si>
  <si>
    <t>Urządzenia napromieniowujące, sprzęt elektromedyczny  i elektroterapeutyczny</t>
  </si>
  <si>
    <t>26.60</t>
  </si>
  <si>
    <t>26.7</t>
  </si>
  <si>
    <t>Instrumenty optyczne i sprzęt fotograficzny</t>
  </si>
  <si>
    <t>26.70</t>
  </si>
  <si>
    <t>26.8</t>
  </si>
  <si>
    <t>Magnetyczne i optyczne niezapisane nośniki informacji</t>
  </si>
  <si>
    <t>26.80</t>
  </si>
  <si>
    <t>27.1</t>
  </si>
  <si>
    <t>Silniki elektryczne, prądnice, transformatory oraz aparatura rozdzielcza  i sterownicza energii elektrycznej</t>
  </si>
  <si>
    <t>27.11</t>
  </si>
  <si>
    <t>Silniki elektryczne, prądnice i transformatory</t>
  </si>
  <si>
    <t>27.12</t>
  </si>
  <si>
    <t>Aparatura rozdzielcza i sterownicza energii elektrycznej</t>
  </si>
  <si>
    <t>27.2</t>
  </si>
  <si>
    <t>Baterie i akumulatory</t>
  </si>
  <si>
    <t>27.20</t>
  </si>
  <si>
    <t>27.3</t>
  </si>
  <si>
    <t>Przewody i kable izolowane oraz sprzęt instalacyjny</t>
  </si>
  <si>
    <t>27.31</t>
  </si>
  <si>
    <t>27.32</t>
  </si>
  <si>
    <t>Pozostałe elektroniczne i elektryczne przewody i kable</t>
  </si>
  <si>
    <t>27.33</t>
  </si>
  <si>
    <t>Sprzęt instalacyjny</t>
  </si>
  <si>
    <t>27.4</t>
  </si>
  <si>
    <t>Sprzęt oświetleniowy elektryczny</t>
  </si>
  <si>
    <t>27.40</t>
  </si>
  <si>
    <t>27.5</t>
  </si>
  <si>
    <t>Sprzęt gospodarstwa domowego</t>
  </si>
  <si>
    <t>27.51</t>
  </si>
  <si>
    <t>Sprzęt gospodarstwa domowego elektryczny</t>
  </si>
  <si>
    <t>27.52</t>
  </si>
  <si>
    <t>Sprzęt gospodarstwa domowego nieelektryczny</t>
  </si>
  <si>
    <t>27.9</t>
  </si>
  <si>
    <t>Pozostały sprzęt elektryczny</t>
  </si>
  <si>
    <t>27.90</t>
  </si>
  <si>
    <t>28.1</t>
  </si>
  <si>
    <t>Maszyny ogólnego przeznaczenia</t>
  </si>
  <si>
    <t>28.11</t>
  </si>
  <si>
    <t>Silniki i turbiny, z wyłączeniem silników lotniczych, samochodowych  i motocyklowych</t>
  </si>
  <si>
    <t>28.12</t>
  </si>
  <si>
    <t>Sprzęt i wyposażenie do napędu hydraulicznego i pneumatycznego</t>
  </si>
  <si>
    <t>28.13</t>
  </si>
  <si>
    <t>Pozostałe pompy i sprężarki</t>
  </si>
  <si>
    <t>28.14</t>
  </si>
  <si>
    <t>Pozostałe kurki i zawory</t>
  </si>
  <si>
    <t>28.15</t>
  </si>
  <si>
    <t>Łożyska, koła zębate, przekładnie zębate i elementy napędowe</t>
  </si>
  <si>
    <t>28.2</t>
  </si>
  <si>
    <t>Pozostałe maszyny ogólnego przeznaczenia</t>
  </si>
  <si>
    <t>28.21</t>
  </si>
  <si>
    <t>Piece, paleniska i palniki piecowe</t>
  </si>
  <si>
    <t>28.22</t>
  </si>
  <si>
    <t>Urządzenia dźwigowe i chwytaki</t>
  </si>
  <si>
    <t>28.23</t>
  </si>
  <si>
    <t>Maszyny i sprzęt biurowy, z wyłączeniem komputerów i urządzeń peryferyjnych</t>
  </si>
  <si>
    <t>28.24</t>
  </si>
  <si>
    <t>Narzędzia ręczne mechaniczne</t>
  </si>
  <si>
    <t>28.25</t>
  </si>
  <si>
    <t>Przemysłowe urządzenia chłodnicze i wentylacyjne</t>
  </si>
  <si>
    <t>28.29</t>
  </si>
  <si>
    <t>Pozostałe maszyny ogólnego przeznaczenia, gdzie indziej niesklasyfikowane</t>
  </si>
  <si>
    <t>28.3</t>
  </si>
  <si>
    <t>Maszyny dla rolnictwa i leśnictwa</t>
  </si>
  <si>
    <t>28.30</t>
  </si>
  <si>
    <t>28.4</t>
  </si>
  <si>
    <t>Maszyny i narzędzia mechaniczne</t>
  </si>
  <si>
    <t>28.41</t>
  </si>
  <si>
    <t>Maszyny do obróbki metalu</t>
  </si>
  <si>
    <t>28.49</t>
  </si>
  <si>
    <t>Pozostałe narzędzia mechaniczne</t>
  </si>
  <si>
    <t>28.9</t>
  </si>
  <si>
    <t>Pozostałe maszyny specjalnego przeznaczenia</t>
  </si>
  <si>
    <t>28.91</t>
  </si>
  <si>
    <t>Maszyny dla metalurgii</t>
  </si>
  <si>
    <t>28.92</t>
  </si>
  <si>
    <t>Maszyny dla górnictwa i do wydobywania oraz dla budownictwa</t>
  </si>
  <si>
    <t>28.93</t>
  </si>
  <si>
    <t>Maszyny stosowane w przetwórstwie żywności, tytoniu i produkcji napojów</t>
  </si>
  <si>
    <t>28.94</t>
  </si>
  <si>
    <t>Maszyny dla przemysłu tekstylnego, odzieżowego i skórzanego</t>
  </si>
  <si>
    <t>28.95</t>
  </si>
  <si>
    <t>Maszyny dla przemysłu papierniczego</t>
  </si>
  <si>
    <t>28.96</t>
  </si>
  <si>
    <t>Maszyny do obróbki gumy lub tworzyw sztucznych</t>
  </si>
  <si>
    <t>28.99</t>
  </si>
  <si>
    <t>Pozostałe maszyny specjalnego przeznaczenia, gdzie indziej niesklasyfikowane</t>
  </si>
  <si>
    <t>29.1</t>
  </si>
  <si>
    <t>Pojazdy samochodowe, z wyłączeniem motocykli</t>
  </si>
  <si>
    <t>29.10</t>
  </si>
  <si>
    <t>29.2</t>
  </si>
  <si>
    <t>Nadwozia do pojazdów silnikowych; przyczepy i naczepy</t>
  </si>
  <si>
    <t>29.20</t>
  </si>
  <si>
    <t>29.3</t>
  </si>
  <si>
    <t>Części i akcesoria do pojazdów</t>
  </si>
  <si>
    <t>29.31</t>
  </si>
  <si>
    <t>Wyposażenie elektryczne i elektroniczne do pojazdów</t>
  </si>
  <si>
    <t>29.32</t>
  </si>
  <si>
    <t>Pozostałe części i akcesoria do pojazdów silnikowych, z wyłączeniem motocykli</t>
  </si>
  <si>
    <t>30.1</t>
  </si>
  <si>
    <t>Statki i łodzie</t>
  </si>
  <si>
    <t>30.11</t>
  </si>
  <si>
    <t>Statki i konstrukcje pływające</t>
  </si>
  <si>
    <t>30.12</t>
  </si>
  <si>
    <t>Łodzie wycieczkowe i sportowe</t>
  </si>
  <si>
    <t>30.2</t>
  </si>
  <si>
    <t>Lokomotywy kolejowe oraz tabor szynowy</t>
  </si>
  <si>
    <t>30.20</t>
  </si>
  <si>
    <t>30.3</t>
  </si>
  <si>
    <t>Statki powietrzne, statki kosmiczne i podobne maszyny</t>
  </si>
  <si>
    <t>30.30</t>
  </si>
  <si>
    <t>30.9</t>
  </si>
  <si>
    <t>Sprzęt transportowy, gdzie indziej niesklasyfikowany</t>
  </si>
  <si>
    <t>30.91</t>
  </si>
  <si>
    <t>Motocykle</t>
  </si>
  <si>
    <t>30.92</t>
  </si>
  <si>
    <t>Rowery i wózki inwalidzkie</t>
  </si>
  <si>
    <t>30.99</t>
  </si>
  <si>
    <t>Pozostały sprzęt transportowy, gdzie indziej niesklasyfikowany</t>
  </si>
  <si>
    <t>31.0</t>
  </si>
  <si>
    <t>Meble</t>
  </si>
  <si>
    <t>31.00</t>
  </si>
  <si>
    <t>Meble do siedzenia i ich części; części pozostałych mebli</t>
  </si>
  <si>
    <t>31.01</t>
  </si>
  <si>
    <t>Meble biurowe i sklepowe</t>
  </si>
  <si>
    <t>31.02</t>
  </si>
  <si>
    <t>Meble kuchenne</t>
  </si>
  <si>
    <t>31.03</t>
  </si>
  <si>
    <t>Materace</t>
  </si>
  <si>
    <t>31.09</t>
  </si>
  <si>
    <t>Pozostałe meble</t>
  </si>
  <si>
    <t>32.1</t>
  </si>
  <si>
    <t>Wyroby jubilerskie, biżuteria i podobne wyroby</t>
  </si>
  <si>
    <t>32.11</t>
  </si>
  <si>
    <t>Monety</t>
  </si>
  <si>
    <t>32.12</t>
  </si>
  <si>
    <t>Wyroby jubilerskie i podobne</t>
  </si>
  <si>
    <t>32.13</t>
  </si>
  <si>
    <t>Biżuteria sztuczna i podobne wyroby</t>
  </si>
  <si>
    <t>32.2</t>
  </si>
  <si>
    <t>Instrumenty muzyczne</t>
  </si>
  <si>
    <t>32.20</t>
  </si>
  <si>
    <t>32.3</t>
  </si>
  <si>
    <t>Sprzęt sportowy</t>
  </si>
  <si>
    <t>32.30</t>
  </si>
  <si>
    <t>32.4</t>
  </si>
  <si>
    <t>Gry i zabawki</t>
  </si>
  <si>
    <t>32.40</t>
  </si>
  <si>
    <t>32.5</t>
  </si>
  <si>
    <t>Urządzenia, instrumenty i wyroby medyczne, włączając dentystyczne</t>
  </si>
  <si>
    <t>32.50</t>
  </si>
  <si>
    <t>32.9</t>
  </si>
  <si>
    <t>Wyroby gdzie indziej niesklasyfikowane</t>
  </si>
  <si>
    <t>32.91</t>
  </si>
  <si>
    <t>Miotły, szczotki i pędzle</t>
  </si>
  <si>
    <t>32.99</t>
  </si>
  <si>
    <t>Pozostałe wyroby, gdzie indziej niesklasyfikowane</t>
  </si>
  <si>
    <t>Wyrób i jednostka miary</t>
  </si>
  <si>
    <t>id dział</t>
  </si>
  <si>
    <t>liczba</t>
  </si>
  <si>
    <t>symbol</t>
  </si>
  <si>
    <t>indeks</t>
  </si>
  <si>
    <t>Wyrób z JM</t>
  </si>
  <si>
    <t>Jednostka</t>
  </si>
  <si>
    <t>O G Ó Ł E M  - (PKWiU 00)</t>
  </si>
  <si>
    <t>WĘGIEL KAMIENNY I WĘGIEL BRUNATNY (LIGNIT) - (PKWiU 05)</t>
  </si>
  <si>
    <t>Węgiel kamienny - (PKWiU 05.1)</t>
  </si>
  <si>
    <t>Węgiel kamienny - (PKWiU 05.10)</t>
  </si>
  <si>
    <t>Węgiel brunatny (lignit) - (PKWiU 05.2)</t>
  </si>
  <si>
    <t>Węgiel brunatny (lignit) - (PKWiU 05.20)</t>
  </si>
  <si>
    <t>POZOSTAŁE PRODUKTY GÓRNICTWA I WYDOBYWANIA - (PKWiU 08)</t>
  </si>
  <si>
    <t>Kamień, piasek i glina - (PKWiU 08.1)</t>
  </si>
  <si>
    <t>Kamień ozdobny lub budowlany, wapień, gips, kreda i łupek - (PKWiU 08.11)</t>
  </si>
  <si>
    <t>Żwir, piasek, glina i kaolin - (PKWiU 08.12)</t>
  </si>
  <si>
    <t>Produkty górnictwa i wydobywania, gdzie indziej niesklasyfikowane - (PKWiU 08.9)</t>
  </si>
  <si>
    <t>Minerały chemiczne i minerały do produkcji nawozów - (PKWiU 08.91)</t>
  </si>
  <si>
    <t>Torf - (PKWiU 08.92)</t>
  </si>
  <si>
    <t>Sól i czysty chlorek sodu; woda morska - (PKWiU 08.93)</t>
  </si>
  <si>
    <t>Pozostałe produkty górnictwa i wydobywania, gdzie indziej niesklasyfikowane - (PKWiU 08.99)</t>
  </si>
  <si>
    <t>ARTYKUŁY SPOŻYWCZE - (PKWiU 10)</t>
  </si>
  <si>
    <t>Mięso i wyroby z mięsa, zakonserwowane - (PKWiU 10.1)</t>
  </si>
  <si>
    <t>Mięso przetworzone i zakonserwowane, z wyłączeniem mięsa z drobiu - (PKWiU 10.11)</t>
  </si>
  <si>
    <t>Mięso z drobiu przetworzone i zakonserwowane - (PKWiU 10.12)</t>
  </si>
  <si>
    <t>Wyroby z mięsa, włączając mięso drobiowe - (PKWiU 10.13)</t>
  </si>
  <si>
    <t>Ryby, skorupiaki i mięczaki, przetworzone i zakonserwowane - (PKWiU 10.2)</t>
  </si>
  <si>
    <t>Ryby, skorupiaki i mięczaki, przetworzone i zakonserwowane - (PKWiU 10.20)</t>
  </si>
  <si>
    <t>Owoce i warzywa przetworzone i zakonserwowane - (PKWiU 10.3)</t>
  </si>
  <si>
    <t>Ziemniaki przetworzone i zakonserwowane - (PKWiU 10.31)</t>
  </si>
  <si>
    <t>Soki z owoców i warzyw - (PKWiU 10.32)</t>
  </si>
  <si>
    <t>Pozostałe owoce i warzywa przetworzone i zakonserwowane - (PKWiU 10.39)</t>
  </si>
  <si>
    <t>Oleje i tłuszcze zwierzęce i roślinne - (PKWiU 10.4)</t>
  </si>
  <si>
    <t>Oleje i tłuszcze zwierzęce i roślinne, z wyłączeniem margaryny  i podobnych produktów - (PKWiU 10.41)</t>
  </si>
  <si>
    <t>Margaryna i podobne tłuszcze jadalne - (PKWiU 10.42)</t>
  </si>
  <si>
    <t>Wyroby mleczarskie - (PKWiU 10.5)</t>
  </si>
  <si>
    <t>Mleko i przetwory mleczne - (PKWiU 10.51)</t>
  </si>
  <si>
    <t>Lody - (PKWiU 10.52)</t>
  </si>
  <si>
    <t>Produkty przemiału zbóż, skrobie i wyroby skrobiowe - (PKWiU 10.6)</t>
  </si>
  <si>
    <t>Produkty przemiału zbóż - (PKWiU 10.61)</t>
  </si>
  <si>
    <t>Skrobia i wyroby skrobiowe - (PKWiU 10.62)</t>
  </si>
  <si>
    <t>Wyroby piekarskie i mączne - (PKWiU 10.7)</t>
  </si>
  <si>
    <t>Pieczywo; świeże wyroby ciastkarskie i ciastka - (PKWiU 10.71)</t>
  </si>
  <si>
    <t>Suchary i herbatniki; konserwowane wyroby ciastkarskie i ciastka - (PKWiU 10.72)</t>
  </si>
  <si>
    <t>Makarony, pierogi, kluski, kuskus i podobne wyroby mączne - (PKWiU 10.73)</t>
  </si>
  <si>
    <t>Pozostałe artykuły spożywcze - (PKWiU 10.8)</t>
  </si>
  <si>
    <t>Cukier - (PKWiU 10.81)</t>
  </si>
  <si>
    <t>Kakao, czekolada i wyroby cukiernicze - (PKWiU 10.82)</t>
  </si>
  <si>
    <t>Kawa i herbata przetworzone - (PKWiU 10.83)</t>
  </si>
  <si>
    <t>Przyprawy - (PKWiU 10.84)</t>
  </si>
  <si>
    <t>Gotowe posiłki i dania - (PKWiU 10.85)</t>
  </si>
  <si>
    <t>Przetwory homogenizowane oraz żywność dietetyczna - (PKWiU 10.86)</t>
  </si>
  <si>
    <t>Pozostałe artykuły spożywcze, gdzie indziej niesklasyfikowane - (PKWiU 10.89)</t>
  </si>
  <si>
    <t>Gotowe pasze i gotowa karma dla zwierząt - (PKWiU 10.9)</t>
  </si>
  <si>
    <t>Gotowe pasze dla zwierząt gospodarskich - (PKWiU 10.91)</t>
  </si>
  <si>
    <t>Gotowa karma dla zwierząt domowych - (PKWiU 10.92)</t>
  </si>
  <si>
    <t>NAPOJE - (PKWiU 11)</t>
  </si>
  <si>
    <t>Napoje - (PKWiU 11.0)</t>
  </si>
  <si>
    <t>Napoje spirytusowe - (PKWiU 11.01)</t>
  </si>
  <si>
    <t>Wina (gronowe) - (PKWiU 11.02)</t>
  </si>
  <si>
    <t>Pozostałe wyroby winiarskie - (PKWiU 11.03)</t>
  </si>
  <si>
    <t>Wermut i pozostałe wina aromatyzowane, ze świeżych winogron - (PKWiU 11.04)</t>
  </si>
  <si>
    <t>Piwo - (PKWiU 11.05)</t>
  </si>
  <si>
    <t>Słód - (PKWiU 11.06)</t>
  </si>
  <si>
    <t>Napoje bezalkoholowe; wody mineralne i pozostałe wody butelkowane - (PKWiU 11.07)</t>
  </si>
  <si>
    <t>WYROBY TYTONIOWE - (PKWiU 12)</t>
  </si>
  <si>
    <t>Wyroby tytoniowe - (PKWiU 12.0)</t>
  </si>
  <si>
    <t>Wyroby tytoniowe - (PKWiU 12.00)</t>
  </si>
  <si>
    <t>WYROBY TEKSTYLNE - (PKWiU 13)</t>
  </si>
  <si>
    <t>Przędza i nici - (PKWiU 13.1)</t>
  </si>
  <si>
    <t>Przędza i nici - (PKWiU 13.10)</t>
  </si>
  <si>
    <t>Tkaniny - (PKWiU 13.2)</t>
  </si>
  <si>
    <t>Tkaniny - (PKWiU 13.20)</t>
  </si>
  <si>
    <t>Pozostałe wyroby tekstylne - (PKWiU 13.9)</t>
  </si>
  <si>
    <t>Dzianiny metrażowe - (PKWiU 13.91)</t>
  </si>
  <si>
    <t>Gotowe wyroby tekstylne - (PKWiU 13.92)</t>
  </si>
  <si>
    <t>Dywany, chodniki i pozostałe tekstylne pokrycia podłogowe - (PKWiU 13.93)</t>
  </si>
  <si>
    <t>Wyroby powroźnicze, liny, szpagaty i wyroby sieciowe - (PKWiU 13.94)</t>
  </si>
  <si>
    <t>Włókniny i wyroby wykonane z włóknin, z wyłączeniem odzieży - (PKWiU 13.95)</t>
  </si>
  <si>
    <t>Pozostałe tekstylne wyroby techniczne i przemysłowe - (PKWiU 13.96)</t>
  </si>
  <si>
    <t>Wyroby tekstylne, gdzie indziej niesklasyfikowane - (PKWiU 13.99)</t>
  </si>
  <si>
    <t>ODZIEŻ - (PKWiU 14)</t>
  </si>
  <si>
    <t>Odzież, z wyłączeniem wyrobów futrzarskich - (PKWiU 14.1)</t>
  </si>
  <si>
    <t>Odzież skórzana - (PKWiU 14.11)</t>
  </si>
  <si>
    <t>Odzież robocza i ochronna - (PKWiU 14.12)</t>
  </si>
  <si>
    <t>Pozostała odzież wierzchnia - (PKWiU 14.13)</t>
  </si>
  <si>
    <t>Bielizna - (PKWiU 14.14)</t>
  </si>
  <si>
    <t>Pozostała odzież i dodatki odzieżowe - (PKWiU 14.19)</t>
  </si>
  <si>
    <t>Wyroby futrzarskie - (PKWiU 14.2)</t>
  </si>
  <si>
    <t>Wyroby futrzarskie - (PKWiU 14.20)</t>
  </si>
  <si>
    <t>Wyroby dziane - (PKWiU 14.3)</t>
  </si>
  <si>
    <t>Wyroby pończosznicze - (PKWiU 14.31)</t>
  </si>
  <si>
    <t>Pozostała odzież dziana - (PKWiU 14.39)</t>
  </si>
  <si>
    <t>SKÓRY I WYROBY ZE SKÓR WYPRAWIONYCH - (PKWiU 15)</t>
  </si>
  <si>
    <t>Skóry wyprawione i garbowane; torby bagażowe, torebki ręczne  i podobne wyroby kaletnicze; wyroby rymarskie; skóry futerkowe - (PKWiU 15.1)</t>
  </si>
  <si>
    <t>Skóry wyprawione i garbowane; skóry futerkowe wyprawione i barwione - (PKWiU 15.11)</t>
  </si>
  <si>
    <t>Wyroby rymarskie; torby bagażowe, torebki ręczne i podobne wyroby kaletnicze - (PKWiU 15.12)</t>
  </si>
  <si>
    <t>Obuwie - (PKWiU 15.2)</t>
  </si>
  <si>
    <t>Obuwie - (PKWiU 15.20)</t>
  </si>
  <si>
    <t>DREWNO I WYROBY Z DREWNA I KORKA, Z WYŁĄCZENIEM MEBLI; WYROBY ZE SŁOMY I MATERIAŁÓW W RODZAJU STOSOWANYCH DO WYPLATANIA - (PKWiU 16)</t>
  </si>
  <si>
    <t>Drewno przetarte i strugane - (PKWiU 16.1)</t>
  </si>
  <si>
    <t>Drewno przetarte i strugane - (PKWiU 16.10)</t>
  </si>
  <si>
    <t>Wyroby z drewna, korka, słomy i materiałów w rodzaju stosowanych do wyplatania - (PKWiU 16.2)</t>
  </si>
  <si>
    <t>Fornir i płyty na bazie drewna - (PKWiU 16.21)</t>
  </si>
  <si>
    <t>Gotowe płyty podłogowe - (PKWiU 16.22)</t>
  </si>
  <si>
    <t>Pozostałe wyroby stolarskie i ciesielskie dla budownictwa - (PKWiU 16.23)</t>
  </si>
  <si>
    <t>Opakowania drewniane - (PKWiU 16.24)</t>
  </si>
  <si>
    <t>Pozostałe wyroby z drewna; wyroby z korka, słomy i materiałów  w rodzaju stosowanych do wyplatania - (PKWiU 16.29)</t>
  </si>
  <si>
    <t>PAPIER I WYROBY Z PAPIERU - (PKWiU 17)</t>
  </si>
  <si>
    <t>Masa włóknista, papier i tektura - (PKWiU 17.1)</t>
  </si>
  <si>
    <t>Masa włóknista - (PKWiU 17.11)</t>
  </si>
  <si>
    <t>Papier i tektura - (PKWiU 17.12)</t>
  </si>
  <si>
    <t>Wyroby z papieru i tektury - (PKWiU 17.2)</t>
  </si>
  <si>
    <t>Papier falisty i tektura falista oraz opakowania z papieru i tektury - (PKWiU 17.21)</t>
  </si>
  <si>
    <t>Artykuły dla gospodarstw domowych, toaletowe i sanitarne, z papieru - (PKWiU 17.22)</t>
  </si>
  <si>
    <t>Artykuły piśmienne - (PKWiU 17.23)</t>
  </si>
  <si>
    <t>Tapety - (PKWiU 17.24)</t>
  </si>
  <si>
    <t>Pozostałe wyroby z papieru i tektury - (PKWiU 17.29)</t>
  </si>
  <si>
    <t>USŁUGI POLIGRAFICZNE I USŁUGI REPRODUKCJI ZAPISANYCH NOŚNIKÓW INFORMACJI - (PKWiU 18)</t>
  </si>
  <si>
    <t>Usługi poligraficzne i usługi pokrewne związane z drukowaniem - (PKWiU 18.1)</t>
  </si>
  <si>
    <t>Usługi drukowania gazet - (PKWiU 18.11)</t>
  </si>
  <si>
    <t>Pozostałe usługi poligraficzne - (PKWiU 18.12)</t>
  </si>
  <si>
    <t>Usługi związane z przygotowaniem do druku i wspomagające drukowanie; wyroby w rodzaju stosowanych do drukowania - (PKWiU 18.13)</t>
  </si>
  <si>
    <t>KOKS, BRYKIETY I PODOBNE PALIWA STAŁE Z WĘGLA I TORFU ORAZ PRODUKTY RAFINACJI ROPY NAFTOWEJ - (PKWiU 19)</t>
  </si>
  <si>
    <t>Produkty pieców koksowniczych - (PKWiU 19.1)</t>
  </si>
  <si>
    <t>Produkty pieców koksowniczych - (PKWiU 19.10)</t>
  </si>
  <si>
    <t>Brykiety i podobne paliwa stałe z węgla i torfu oraz produkty rafinacji ropy naftowej - (PKWiU 19.2)</t>
  </si>
  <si>
    <t>Brykiety i podobne paliwa stałe z węgla i torfu oraz produkty rafinacji ropy naftowej - (PKWiU 19.20)</t>
  </si>
  <si>
    <t>CHEMIKALIA I WYROBY CHEMICZNE - (PKWiU 20)</t>
  </si>
  <si>
    <t>Chemikalia podstawowe, nawozy i związki azotowe, tworzywa sztuczne  i kauczuk syntetyczny w formach podstawowych - (PKWiU 20.1)</t>
  </si>
  <si>
    <t>Gazy techniczne - (PKWiU 20.11)</t>
  </si>
  <si>
    <t>Barwniki i pigmenty - (PKWiU 20.12)</t>
  </si>
  <si>
    <t>Pozostałe podstawowe chemikalia nieorganiczne - (PKWiU 20.13)</t>
  </si>
  <si>
    <t>Pozostałe podstawowe chemikalia organiczne - (PKWiU 20.14)</t>
  </si>
  <si>
    <t>Nawozy i związki azotowe - (PKWiU 20.15)</t>
  </si>
  <si>
    <t>Tworzywa sztuczne w formach podstawowych - (PKWiU 20.16)</t>
  </si>
  <si>
    <t>Kauczuk syntetyczny w formach podstawowych - (PKWiU 20.17)</t>
  </si>
  <si>
    <t>Pestycydy i pozostałe środki agrochemiczne - (PKWiU 20.2)</t>
  </si>
  <si>
    <t>Pestycydy i pozostałe środki agrochemiczne - (PKWiU 20.20)</t>
  </si>
  <si>
    <t>Farby, lakiery i podobne środki pokrywające, farba drukarska, gotowe sykatywy i masy uszczelniające - (PKWiU 20.3)</t>
  </si>
  <si>
    <t>Farby, lakiery i podobne środki pokrywające, farba drukarska, gotowe sykatywy i masy uszczelniające - (PKWiU 20.30)</t>
  </si>
  <si>
    <t>Mydło i detergenty, środki piorące, czyszczące i polerujące; wyroby kosmetyczne i toaletowe - (PKWiU 20.4)</t>
  </si>
  <si>
    <t>Mydło i detergenty, środki piorące, czyszczące i polerujące - (PKWiU 20.41)</t>
  </si>
  <si>
    <t>Wyroby kosmetyczne i toaletowe - (PKWiU 20.42)</t>
  </si>
  <si>
    <t>Pozostałe wyroby chemiczne - (PKWiU 20.5)</t>
  </si>
  <si>
    <t>Materiały wybuchowe; zapałki - (PKWiU 20.51)</t>
  </si>
  <si>
    <t>Kleje - (PKWiU 20.52)</t>
  </si>
  <si>
    <t>Olejki eteryczne; mieszaniny substancji zapachowych - (PKWiU 20.53)</t>
  </si>
  <si>
    <t>Pozostałe wyroby chemiczne, gdzie indziej niesklasyfikowane - (PKWiU 20.59)</t>
  </si>
  <si>
    <t>Włókna chemiczne - (PKWiU 20.6)</t>
  </si>
  <si>
    <t>Włókna chemiczne - (PKWiU 20.60)</t>
  </si>
  <si>
    <t>PODSTAWOWE SUBSTANCJE FARMACEUTYCZNE, LEKI I POZOSTAŁE WYROBY FARMACEUTYCZNE - (PKWiU 21)</t>
  </si>
  <si>
    <t>Podstawowe substancje farmaceutyczne - (PKWiU 21.1)</t>
  </si>
  <si>
    <t>Podstawowe substancje farmaceutyczne - (PKWiU 21.10)</t>
  </si>
  <si>
    <t>Leki i pozostałe wyroby farmaceutyczne - (PKWiU 21.2)</t>
  </si>
  <si>
    <t>Leki i pozostałe wyroby farmaceutyczne - (PKWiU 21.20)</t>
  </si>
  <si>
    <t>WYROBY Z GUMY I TWORZYW SZTUCZNYCH - (PKWiU 22)</t>
  </si>
  <si>
    <t>Wyroby z gumy - (PKWiU 22.1)</t>
  </si>
  <si>
    <t>Opony i dętki z gumy; bieżnikowane i regenerowane opony z gumy - (PKWiU 22.11)</t>
  </si>
  <si>
    <t>Pozostałe wyroby z gumy - (PKWiU 22.19)</t>
  </si>
  <si>
    <t>Wyroby z tworzyw sztucznych - (PKWiU 22.2)</t>
  </si>
  <si>
    <t>Płyty, arkusze, rury i kształtowniki z tworzyw sztucznych - (PKWiU 22.21)</t>
  </si>
  <si>
    <t>Opakowania z tworzyw sztucznych - (PKWiU 22.22)</t>
  </si>
  <si>
    <t>Wyroby z tworzyw sztucznych dla budownictwa - (PKWiU 22.23)</t>
  </si>
  <si>
    <t>Pozostałe wyroby z tworzyw sztucznych - (PKWiU 22.29)</t>
  </si>
  <si>
    <t>WYROBY Z POZOSTAŁYCH MINERALNYCH SUROWCÓW NIEMETALICZNYCH - (PKWiU 23)</t>
  </si>
  <si>
    <t>Szkło i wyroby ze szkła - (PKWiU 23.1)</t>
  </si>
  <si>
    <t>Szkło płaskie - (PKWiU 23.11)</t>
  </si>
  <si>
    <t>Szkło płaskie, profilowane i poddane dalszej obróbce - (PKWiU 23.12)</t>
  </si>
  <si>
    <t>Szkło gospodarcze - (PKWiU 23.13)</t>
  </si>
  <si>
    <t>Włókna szklane - (PKWiU 23.14)</t>
  </si>
  <si>
    <t>Pozostałe szkło przetworzone, włączając szkło techniczne - (PKWiU 23.19)</t>
  </si>
  <si>
    <t>Wyroby ogniotrwałe - (PKWiU 23.2)</t>
  </si>
  <si>
    <t>Wyroby ogniotrwałe - (PKWiU 23.20)</t>
  </si>
  <si>
    <t>Materiały budowlane ceramiczne - (PKWiU 23.3)</t>
  </si>
  <si>
    <t>Płytki ceramiczne i płyty chodnikowe ceramiczne - (PKWiU 23.31)</t>
  </si>
  <si>
    <t>Cegły, dachówki i materiały budowlane, z wypalanej gliny - (PKWiU 23.32)</t>
  </si>
  <si>
    <t>Pozostałe wyroby z porcelany i ceramiki - (PKWiU 23.4)</t>
  </si>
  <si>
    <t>Wyroby ceramiczne stołowe i ozdobne - (PKWiU 23.41)</t>
  </si>
  <si>
    <t>Wyroby sanitarne ceramiczne - (PKWiU 23.42)</t>
  </si>
  <si>
    <t>Izolatory ceramiczne i elementy ceramicznego osprzętu izolacyjnego - (PKWiU 23.43)</t>
  </si>
  <si>
    <t>Pozostałe wyroby ceramiczne do celów technicznych - (PKWiU 23.44)</t>
  </si>
  <si>
    <t>Pozostałe wyroby ceramiczne - (PKWiU 23.49)</t>
  </si>
  <si>
    <t>Cement, wapno i gips - (PKWiU 23.5)</t>
  </si>
  <si>
    <t>Cement - (PKWiU 23.51)</t>
  </si>
  <si>
    <t>Wapno i gips - (PKWiU 23.52)</t>
  </si>
  <si>
    <t>Wyroby z betonu, cementu i gipsu - (PKWiU 23.6)</t>
  </si>
  <si>
    <t>Wyroby z betonu do celów budowlanych - (PKWiU 23.61)</t>
  </si>
  <si>
    <t>Wyroby z gipsu do celów budowlanych - (PKWiU 23.62)</t>
  </si>
  <si>
    <t>Masa betonowa prefabrykowana - (PKWiU 23.63)</t>
  </si>
  <si>
    <t>Zaprawy murarskie - (PKWiU 23.64)</t>
  </si>
  <si>
    <t>Wyroby włókno–cementowe - (PKWiU 23.65)</t>
  </si>
  <si>
    <t>Pozostałe wyroby z betonu, gipsu i cementu - (PKWiU 23.69)</t>
  </si>
  <si>
    <t>Kamienie cięte, formowane i wykończone - (PKWiU 23.7)</t>
  </si>
  <si>
    <t>Kamienie cięte, formowane i wykończone - (PKWiU 23.70)</t>
  </si>
  <si>
    <t>Wyroby ścierne i pozostałe wyroby z mineralnych surowców niemetalicznych - (PKWiU 23.9)</t>
  </si>
  <si>
    <t>Wyroby ścierne - (PKWiU 23.91)</t>
  </si>
  <si>
    <t>Pozostałe wyroby z mineralnych surowców niemetalicznych, gdzie indziej niesklasyfikowane - (PKWiU 23.99)</t>
  </si>
  <si>
    <t>METALE - (PKWiU 24)</t>
  </si>
  <si>
    <t>Żeliwo, stal i żelazostopy - (PKWiU 24.1)</t>
  </si>
  <si>
    <t>Żeliwo, stal i żelazostopy - (PKWiU 24.10)</t>
  </si>
  <si>
    <t>Rury, przewody rurowe, profile drążone i łączniki, ze stali - (PKWiU 24.2)</t>
  </si>
  <si>
    <t>Rury, przewody rurowe, profile drążone i łączniki, ze stali - (PKWiU 24.20)</t>
  </si>
  <si>
    <t>Pozostałe wyroby ze stali poddanej wstępnej obróbce - (PKWiU 24.3)</t>
  </si>
  <si>
    <t>Pręty ciągnione na zimno - (PKWiU 24.31)</t>
  </si>
  <si>
    <t>Wyroby płaskie walcowane na zimno, z wyłączeniem wyrobów ze stali krzemowej elektrotechnicznej - (PKWiU 24.32)</t>
  </si>
  <si>
    <t>Wyroby formowane lub profilowane na zimno - (PKWiU 24.33)</t>
  </si>
  <si>
    <t>Drut ciągniony na zimno - (PKWiU 24.34)</t>
  </si>
  <si>
    <t>Metale szlachetne i pozostałe metale nieżelazne - (PKWiU 24.4)</t>
  </si>
  <si>
    <t>Metale szlachetne - (PKWiU 24.41)</t>
  </si>
  <si>
    <t>Aluminium - (PKWiU 24.42)</t>
  </si>
  <si>
    <t>Ołów, cynk i cyna - (PKWiU 24.43)</t>
  </si>
  <si>
    <t>Miedź - (PKWiU 24.44)</t>
  </si>
  <si>
    <t>Pozostałe metale nieżelazne - (PKWiU 24.45)</t>
  </si>
  <si>
    <t>Usługi wykonywania odlewów z metali - (PKWiU 24.5)</t>
  </si>
  <si>
    <t>Usługi wykonywania odlewów żeliwnych - (PKWiU 24.51)</t>
  </si>
  <si>
    <t>Usługi wykonywania odlewów staliwnych - (PKWiU 24.52)</t>
  </si>
  <si>
    <t>Usługi wykonywania odlewów z metali lekkich - (PKWiU 24.53)</t>
  </si>
  <si>
    <t>Usługi wykonywania odlewów z pozostałych metali nieżelaznych - (PKWiU 24.54)</t>
  </si>
  <si>
    <t>WYROBY METALOWE GOTOWE, Z WYŁĄCZENIEM MASZYN I URZĄDZEŃ - (PKWiU 25)</t>
  </si>
  <si>
    <t>Metalowe elementy konstrukcyjne - (PKWiU 25.1)</t>
  </si>
  <si>
    <t>Konstrukcje metalowe i ich części - (PKWiU 25.11)</t>
  </si>
  <si>
    <t>Metalowe elementy stolarki budowlanej - (PKWiU 25.12)</t>
  </si>
  <si>
    <t>Zbiorniki, cysterny i pojemniki metalowe - (PKWiU 25.2)</t>
  </si>
  <si>
    <t>Grzejniki i kotły centralnego ogrzewania - (PKWiU 25.21)</t>
  </si>
  <si>
    <t>Pozostałe zbiorniki, cysterny i pojemniki metalowe - (PKWiU 25.29)</t>
  </si>
  <si>
    <t>Wytwornice pary, z wyłączeniem kotłów centralnego ogrzewania gorącą wodą - (PKWiU 25.3)</t>
  </si>
  <si>
    <t>Wytwornice pary, z wyłączeniem kotłów centralnego ogrzewania gorącą wodą - (PKWiU 25.30)</t>
  </si>
  <si>
    <t>Broń i amunicja - (PKWiU 25.4)</t>
  </si>
  <si>
    <t>Broń i amunicja - (PKWiU 25.40)</t>
  </si>
  <si>
    <t>Usługi kucia, prasowania, wytłaczania i walcowania metali; usługi w zakresie metalurgii proszków - (PKWiU 25.5)</t>
  </si>
  <si>
    <t>Usługi kucia, prasowania, wytłaczania i walcowania metali; usługi  w zakresie metalurgii proszków - (PKWiU 25.50)</t>
  </si>
  <si>
    <t>Usługi obróbki metali i nakładania powłok na metale; usługi z zakresu obróbki mechanicznej elementów metalowych - (PKWiU 25.6)</t>
  </si>
  <si>
    <t>Usługi z zakresu obróbki mechanicznej elementów metalowych - (PKWiU 25.62)</t>
  </si>
  <si>
    <t>Wyroby nożownicze, sztućce, narzędzia i wyroby metalowe ogólnego przeznaczenia - (PKWiU 25.7)</t>
  </si>
  <si>
    <t>Wyroby nożownicze i sztućce - (PKWiU 25.71)</t>
  </si>
  <si>
    <t>Zamki i zawiasy - (PKWiU 25.72)</t>
  </si>
  <si>
    <t>Narzędzia - (PKWiU 25.73)</t>
  </si>
  <si>
    <t>Pozostałe gotowe wyroby metalowe - (PKWiU 25.9)</t>
  </si>
  <si>
    <t>Pojemniki metalowe - (PKWiU 25.91)</t>
  </si>
  <si>
    <t>Opakowania z metali - (PKWiU 25.92)</t>
  </si>
  <si>
    <t>Wyroby z drutu, łańcuchy i sprężyny - (PKWiU 25.93)</t>
  </si>
  <si>
    <t>Elementy złączne, śruby i wkręty - (PKWiU 25.94)</t>
  </si>
  <si>
    <t>Pozostałe gotowe wyroby metalowe, gdzie indziej niesklasyfikowane - (PKWiU 25.99)</t>
  </si>
  <si>
    <t>KOMPUTERY, WYROBY ELEKTRONICZNE I OPTYCZNE - (PKWiU 26)</t>
  </si>
  <si>
    <t>Elementy i obwody drukowane, elektroniczne - (PKWiU 26.1)</t>
  </si>
  <si>
    <t>Elementy elektroniczne - (PKWiU 26.11)</t>
  </si>
  <si>
    <t>Elektroniczne obwody drukowane - (PKWiU 26.12)</t>
  </si>
  <si>
    <t>Komputery i urządzenia peryferyjne - (PKWiU 26.2)</t>
  </si>
  <si>
    <t>Komputery i urządzenia peryferyjne - (PKWiU 26.20)</t>
  </si>
  <si>
    <t>Sprzęt telekomunikacyjny - (PKWiU 26.3)</t>
  </si>
  <si>
    <t>Sprzęt telekomunikacyjny - (PKWiU 26.30)</t>
  </si>
  <si>
    <t>Elektroniczny sprzęt powszechnego użytku - (PKWiU 26.4)</t>
  </si>
  <si>
    <t>Elektroniczny sprzęt powszechnego użytku - (PKWiU 26.40)</t>
  </si>
  <si>
    <t>Instrumenty i przyrządy pomiarowe, kontrolne i nawigacyjne; zegarki  i zegary - (PKWiU 26.5)</t>
  </si>
  <si>
    <t>Instrumenty i przyrządy pomiarowe, kontrolne i nawigacyjne - (PKWiU 26.51)</t>
  </si>
  <si>
    <t>Zegarki i zegary - (PKWiU 26.52)</t>
  </si>
  <si>
    <t>Urządzenia napromieniowujące, sprzęt elektromedyczny  i elektroterapeutyczny - (PKWiU 26.6)</t>
  </si>
  <si>
    <t>Urządzenia napromieniowujące, sprzęt elektromedyczny  i elektroterapeutyczny - (PKWiU 26.60)</t>
  </si>
  <si>
    <t>Instrumenty optyczne i sprzęt fotograficzny - (PKWiU 26.7)</t>
  </si>
  <si>
    <t>Instrumenty optyczne i sprzęt fotograficzny - (PKWiU 26.70)</t>
  </si>
  <si>
    <t>Magnetyczne i optyczne niezapisane nośniki informacji - (PKWiU 26.8)</t>
  </si>
  <si>
    <t>Magnetyczne i optyczne niezapisane nośniki informacji - (PKWiU 26.80)</t>
  </si>
  <si>
    <t>URZĄDZENIA ELEKTRYCZNE I NIEELEKTRYCZNY SPRZĘT GOSPODARSTWA DOMOWEGO - (PKWiU 27)</t>
  </si>
  <si>
    <t>Silniki elektryczne, prądnice, transformatory oraz aparatura rozdzielcza  i sterownicza energii elektrycznej - (PKWiU 27.1)</t>
  </si>
  <si>
    <t>Silniki elektryczne, prądnice i transformatory - (PKWiU 27.11)</t>
  </si>
  <si>
    <t>Aparatura rozdzielcza i sterownicza energii elektrycznej - (PKWiU 27.12)</t>
  </si>
  <si>
    <t>Baterie i akumulatory - (PKWiU 27.2)</t>
  </si>
  <si>
    <t>Baterie i akumulatory - (PKWiU 27.20)</t>
  </si>
  <si>
    <t>Przewody i kable izolowane oraz sprzęt instalacyjny - (PKWiU 27.3)</t>
  </si>
  <si>
    <t>Kable światłowodowe - (PKWiU 27.31)</t>
  </si>
  <si>
    <t>Pozostałe elektroniczne i elektryczne przewody i kable - (PKWiU 27.32)</t>
  </si>
  <si>
    <t>Sprzęt instalacyjny - (PKWiU 27.33)</t>
  </si>
  <si>
    <t>Sprzęt oświetleniowy elektryczny - (PKWiU 27.4)</t>
  </si>
  <si>
    <t>Sprzęt oświetleniowy elektryczny - (PKWiU 27.40)</t>
  </si>
  <si>
    <t>Sprzęt gospodarstwa domowego - (PKWiU 27.5)</t>
  </si>
  <si>
    <t>Sprzęt gospodarstwa domowego elektryczny - (PKWiU 27.51)</t>
  </si>
  <si>
    <t>Sprzęt gospodarstwa domowego nieelektryczny - (PKWiU 27.52)</t>
  </si>
  <si>
    <t>Pozostały sprzęt elektryczny - (PKWiU 27.9)</t>
  </si>
  <si>
    <t>Pozostały sprzęt elektryczny - (PKWiU 27.90)</t>
  </si>
  <si>
    <t>MASZYNY I URZĄDZENIA, GDZIE INDZIEJ NIESKLASYFIKOWANE - (PKWiU 28)</t>
  </si>
  <si>
    <t>Maszyny ogólnego przeznaczenia - (PKWiU 28.1)</t>
  </si>
  <si>
    <t>Silniki i turbiny, z wyłączeniem silników lotniczych, samochodowych  i motocyklowych - (PKWiU 28.11)</t>
  </si>
  <si>
    <t>Sprzęt i wyposażenie do napędu hydraulicznego i pneumatycznego - (PKWiU 28.12)</t>
  </si>
  <si>
    <t>Pozostałe pompy i sprężarki - (PKWiU 28.13)</t>
  </si>
  <si>
    <t>Pozostałe kurki i zawory - (PKWiU 28.14)</t>
  </si>
  <si>
    <t>Łożyska, koła zębate, przekładnie zębate i elementy napędowe - (PKWiU 28.15)</t>
  </si>
  <si>
    <t>Pozostałe maszyny ogólnego przeznaczenia - (PKWiU 28.2)</t>
  </si>
  <si>
    <t>Piece, paleniska i palniki piecowe - (PKWiU 28.21)</t>
  </si>
  <si>
    <t>Urządzenia dźwigowe i chwytaki - (PKWiU 28.22)</t>
  </si>
  <si>
    <t>Maszyny i sprzęt biurowy, z wyłączeniem komputerów i urządzeń peryferyjnych - (PKWiU 28.23)</t>
  </si>
  <si>
    <t>Narzędzia ręczne mechaniczne - (PKWiU 28.24)</t>
  </si>
  <si>
    <t>Przemysłowe urządzenia chłodnicze i wentylacyjne - (PKWiU 28.25)</t>
  </si>
  <si>
    <t>Pozostałe maszyny ogólnego przeznaczenia, gdzie indziej niesklasyfikowane - (PKWiU 28.29)</t>
  </si>
  <si>
    <t>Maszyny dla rolnictwa i leśnictwa - (PKWiU 28.3)</t>
  </si>
  <si>
    <t>Maszyny dla rolnictwa i leśnictwa - (PKWiU 28.30)</t>
  </si>
  <si>
    <t>Maszyny i narzędzia mechaniczne - (PKWiU 28.4)</t>
  </si>
  <si>
    <t>Maszyny do obróbki metalu - (PKWiU 28.41)</t>
  </si>
  <si>
    <t>Pozostałe narzędzia mechaniczne - (PKWiU 28.49)</t>
  </si>
  <si>
    <t>Pozostałe maszyny specjalnego przeznaczenia - (PKWiU 28.9)</t>
  </si>
  <si>
    <t>Maszyny dla metalurgii - (PKWiU 28.91)</t>
  </si>
  <si>
    <t>Maszyny dla górnictwa i do wydobywania oraz dla budownictwa - (PKWiU 28.92)</t>
  </si>
  <si>
    <t>Maszyny stosowane w przetwórstwie żywności, tytoniu i produkcji napojów - (PKWiU 28.93)</t>
  </si>
  <si>
    <t>Maszyny dla przemysłu tekstylnego, odzieżowego i skórzanego - (PKWiU 28.94)</t>
  </si>
  <si>
    <t>Maszyny dla przemysłu papierniczego - (PKWiU 28.95)</t>
  </si>
  <si>
    <t>Maszyny do obróbki gumy lub tworzyw sztucznych - (PKWiU 28.96)</t>
  </si>
  <si>
    <t>Pozostałe maszyny specjalnego przeznaczenia, gdzie indziej niesklasyfikowane - (PKWiU 28.99)</t>
  </si>
  <si>
    <t>POJAZDY SAMOCHODOWE (Z WYŁĄCZENIEM MOTOCYKLI), PRZYCZEPY  I NACZEPY - (PKWiU 29)</t>
  </si>
  <si>
    <t>Pojazdy samochodowe, z wyłączeniem motocykli - (PKWiU 29.1)</t>
  </si>
  <si>
    <t>Pojazdy samochodowe, z wyłączeniem motocykli - (PKWiU 29.10)</t>
  </si>
  <si>
    <t>Nadwozia do pojazdów silnikowych; przyczepy i naczepy - (PKWiU 29.2)</t>
  </si>
  <si>
    <t>Nadwozia do pojazdów silnikowych; przyczepy i naczepy - (PKWiU 29.20)</t>
  </si>
  <si>
    <t>Części i akcesoria do pojazdów - (PKWiU 29.3)</t>
  </si>
  <si>
    <t>Wyposażenie elektryczne i elektroniczne do pojazdów - (PKWiU 29.31)</t>
  </si>
  <si>
    <t>Pozostałe części i akcesoria do pojazdów silnikowych, z wyłączeniem motocykli - (PKWiU 29.32)</t>
  </si>
  <si>
    <t>PRODUKCJA POZOSTAŁEGO SPRZĘTU TRANSPORTOWEGO - (PKWiU 30)</t>
  </si>
  <si>
    <t>Statki i łodzie - (PKWiU 30.1)</t>
  </si>
  <si>
    <t>Statki i konstrukcje pływające - (PKWiU 30.11)</t>
  </si>
  <si>
    <t>Łodzie wycieczkowe i sportowe - (PKWiU 30.12)</t>
  </si>
  <si>
    <t>Lokomotywy kolejowe oraz tabor szynowy - (PKWiU 30.2)</t>
  </si>
  <si>
    <t>Lokomotywy kolejowe oraz tabor szynowy - (PKWiU 30.20)</t>
  </si>
  <si>
    <t>Statki powietrzne, statki kosmiczne i podobne maszyny - (PKWiU 30.3)</t>
  </si>
  <si>
    <t>Statki powietrzne, statki kosmiczne i podobne maszyny - (PKWiU 30.30)</t>
  </si>
  <si>
    <t>Sprzęt transportowy, gdzie indziej niesklasyfikowany - (PKWiU 30.9)</t>
  </si>
  <si>
    <t>Motocykle - (PKWiU 30.91)</t>
  </si>
  <si>
    <t>Rowery i wózki inwalidzkie - (PKWiU 30.92)</t>
  </si>
  <si>
    <t>Pozostały sprzęt transportowy, gdzie indziej niesklasyfikowany - (PKWiU 30.99)</t>
  </si>
  <si>
    <t>MEBLE - (PKWiU 31)</t>
  </si>
  <si>
    <t>Meble - (PKWiU 31.0)</t>
  </si>
  <si>
    <t>Meble do siedzenia i ich części; części pozostałych mebli - (PKWiU 31.00)</t>
  </si>
  <si>
    <t>Meble biurowe i sklepowe - (PKWiU 31.01)</t>
  </si>
  <si>
    <t>Meble kuchenne - (PKWiU 31.02)</t>
  </si>
  <si>
    <t>Materace - (PKWiU 31.03)</t>
  </si>
  <si>
    <t>Pozostałe meble - (PKWiU 31.09)</t>
  </si>
  <si>
    <t>POZOSTAŁE WYROBY - (PKWiU 32)</t>
  </si>
  <si>
    <t>Wyroby jubilerskie, biżuteria i podobne wyroby - (PKWiU 32.1)</t>
  </si>
  <si>
    <t>Monety - (PKWiU 32.11)</t>
  </si>
  <si>
    <t>Wyroby jubilerskie i podobne - (PKWiU 32.12)</t>
  </si>
  <si>
    <t>Biżuteria sztuczna i podobne wyroby - (PKWiU 32.13)</t>
  </si>
  <si>
    <t>Instrumenty muzyczne - (PKWiU 32.2)</t>
  </si>
  <si>
    <t>Instrumenty muzyczne - (PKWiU 32.20)</t>
  </si>
  <si>
    <t>Sprzęt sportowy - (PKWiU 32.3)</t>
  </si>
  <si>
    <t>Sprzęt sportowy - (PKWiU 32.30)</t>
  </si>
  <si>
    <t>Gry i zabawki - (PKWiU 32.4)</t>
  </si>
  <si>
    <t>Gry i zabawki - (PKWiU 32.40)</t>
  </si>
  <si>
    <t>Urządzenia, instrumenty i wyroby medyczne, włączając dentystyczne - (PKWiU 32.5)</t>
  </si>
  <si>
    <t>Urządzenia, instrumenty i wyroby medyczne, włączając dentystyczne - (PKWiU 32.50)</t>
  </si>
  <si>
    <t>Wyroby gdzie indziej niesklasyfikowane - (PKWiU 32.9)</t>
  </si>
  <si>
    <t>Miotły, szczotki i pędzle - (PKWiU 32.91)</t>
  </si>
  <si>
    <t>Pozostałe wyroby, gdzie indziej niesklasyfikowane - (PKWiU 32.99)</t>
  </si>
  <si>
    <t>Wyrób z PKWiU</t>
  </si>
  <si>
    <t>Dział03</t>
  </si>
  <si>
    <t>Dział01</t>
  </si>
  <si>
    <t>Dział02</t>
  </si>
  <si>
    <t>Dział04</t>
  </si>
  <si>
    <t>Dział05</t>
  </si>
  <si>
    <t>Dział06</t>
  </si>
  <si>
    <t>Dział07</t>
  </si>
  <si>
    <t>Dział08</t>
  </si>
  <si>
    <t>Dział09</t>
  </si>
  <si>
    <t>Dział10</t>
  </si>
  <si>
    <t>Dział11</t>
  </si>
  <si>
    <t>Dział12</t>
  </si>
  <si>
    <t>Dział13</t>
  </si>
  <si>
    <t>Dział14</t>
  </si>
  <si>
    <t>Dział15</t>
  </si>
  <si>
    <t>Dział16</t>
  </si>
  <si>
    <t>Dział17</t>
  </si>
  <si>
    <t>Dział18</t>
  </si>
  <si>
    <t>Dział19</t>
  </si>
  <si>
    <t>Dział20</t>
  </si>
  <si>
    <t>Dział21</t>
  </si>
  <si>
    <t>Dział22</t>
  </si>
  <si>
    <t>Dział23</t>
  </si>
  <si>
    <t>Dział24</t>
  </si>
  <si>
    <t>Dział25</t>
  </si>
  <si>
    <t>Dział26</t>
  </si>
  <si>
    <t>Dział27</t>
  </si>
  <si>
    <t>dział</t>
  </si>
  <si>
    <t>wyrób</t>
  </si>
  <si>
    <t>ograniczenie wskaźników</t>
  </si>
  <si>
    <t>indeks 1</t>
  </si>
  <si>
    <t>indeks 2</t>
  </si>
  <si>
    <t>ENERGIA ELEGTRYCZNA</t>
  </si>
  <si>
    <t>Ilość produkcji wytworzonej</t>
  </si>
  <si>
    <t>Wartość produkcji sprzedanej w tys. zł</t>
  </si>
  <si>
    <t>Węgiel kamienny - ( t )</t>
  </si>
  <si>
    <t>Węgiel kamienny - ( tpu )</t>
  </si>
  <si>
    <t>Węgiel energetyczny - ( t )</t>
  </si>
  <si>
    <t>Węgiel energetyczny - ( tpu )</t>
  </si>
  <si>
    <t>Węgiel brunatny - ( t )</t>
  </si>
  <si>
    <t>Węgiel brunatny - ( tpu )</t>
  </si>
  <si>
    <t>Oleje ropy naftowej i oleje otrzymywane z minerałów bitumicznych - ( t )</t>
  </si>
  <si>
    <t>Gaz ziemny w stanie ciekłym lub gazowym - ( dam³ )</t>
  </si>
  <si>
    <t>Gaz ziemny w stanie ciekłym lub gazowym - ( GJ )</t>
  </si>
  <si>
    <t>Rudy i koncentraty miedzi - ( t )</t>
  </si>
  <si>
    <t>Rudy i koncentraty miedzi - ( t Cu )</t>
  </si>
  <si>
    <t>Koncentraty miedzi - ( kg Ag )</t>
  </si>
  <si>
    <t>Koncentraty miedzi - ( t )</t>
  </si>
  <si>
    <t>Koncentraty miedzi - ( t Cu )</t>
  </si>
  <si>
    <t>Rudy i koncentraty ołowiu - ( t )</t>
  </si>
  <si>
    <t>Rudy i koncentraty ołowiu - ( t Pb )</t>
  </si>
  <si>
    <t>Mineralne środki dla rolnictwa wapniowe i wapniowo-magnezowe (tlenkowe i węglanowe ) - ( t )</t>
  </si>
  <si>
    <t>Kwarcyt - ( t )</t>
  </si>
  <si>
    <t>Gips i anhydryt - ( t )</t>
  </si>
  <si>
    <t>Topnik wapniowy, wapień i pozostałe kamienie wapienne w rodzaju stosowanych do produkcji wapna lub cementu - ( t )</t>
  </si>
  <si>
    <t>Kreda (łącznie z nawozową ) - ( t )</t>
  </si>
  <si>
    <t>Kreda mielona, nawozowa - ( t )</t>
  </si>
  <si>
    <t>Dolomit niekalcynowany ani niespiekany - ( t )</t>
  </si>
  <si>
    <t>Piaski krzemionkowe i piaski kwarcowe - ( t )</t>
  </si>
  <si>
    <t>Piasek szklarski - ( t )</t>
  </si>
  <si>
    <t>Piasek formierski - ( t )</t>
  </si>
  <si>
    <t>Żwir, otoczaki, gruby żwir i krzemień w rodzaju stosowanych jako kruszywo do betonu, tłuczeń drogowy - ( t )</t>
  </si>
  <si>
    <t>Tłuczeń kamienny w rodzaju stosowanego jako kruszywo do betonu, tłuczeń drogowy - ( t )</t>
  </si>
  <si>
    <t>Granulki, odłamki i proszek kamienny (trawertyn, ekausyna, granit, porfir, bazalt, piaskowiec i pozostałe ) - ( t )</t>
  </si>
  <si>
    <t>Kaolin i gliny kaolinowe - ( t )</t>
  </si>
  <si>
    <t>Glina ogniotrwała - ( t )</t>
  </si>
  <si>
    <t>Glina ogniotrwała surowa - ( t )</t>
  </si>
  <si>
    <t>Łupki i gliny pospolite, do celów budowlanych, z wyłączeniem bentonitu, gliny ogniotrwałej, iłów porowatych - ( t )</t>
  </si>
  <si>
    <t>Siarka rodzima z wydobycia - ( t )</t>
  </si>
  <si>
    <t>Siarka rodzima z wydobycia - ( t S )</t>
  </si>
  <si>
    <t>Torf z wyłączeniem brykietów i podobnych paliw stałych - ( t )</t>
  </si>
  <si>
    <t>Sól ogółem (z wyłączeniem soli do spożycia ) - ( t )</t>
  </si>
  <si>
    <t>Sól kamienna (z wyłączeniem soli do spożycia ) - ( t )</t>
  </si>
  <si>
    <t>Sól warzona (z wyłączeniem soli do spożycia ) - ( t )</t>
  </si>
  <si>
    <t>Sól w solance - ( t NaCl )</t>
  </si>
  <si>
    <t>Kwarc, z wyłączeniem piasku naturalnego - ( t )</t>
  </si>
  <si>
    <t>Produkty uboju bydła i cieląt wliczane do wydajności poubojowej w wadze poubojowej ciepłej - ( t )</t>
  </si>
  <si>
    <t>Produkty uboju trzody chlewnej wliczane do wydajności poubojowej w wadze poubojowej ciepłej - ( t )</t>
  </si>
  <si>
    <t>Tłuszcze zwierzęce topione jadalne - ( t )</t>
  </si>
  <si>
    <t>Mięso drobiowe - ( t )</t>
  </si>
  <si>
    <t>Wędliny i kiełbasy bez drobiowych - ( t )</t>
  </si>
  <si>
    <t>Kiełbasy i podobne wyroby z wątroby - ( t )</t>
  </si>
  <si>
    <t>Konserwy drobiowe - ( t )</t>
  </si>
  <si>
    <t>Wędliny i kiełbasy drobiowe - ( t )</t>
  </si>
  <si>
    <t>Wyroby wędliniarskie drobiowe - ( t )</t>
  </si>
  <si>
    <t>Konserwy mięsne i podrobowe wołowe i cielęce, włączając szynki i łopatki - ( t )</t>
  </si>
  <si>
    <t>Ryby morskie mrożone - ( t )</t>
  </si>
  <si>
    <t>Ryby wędzone - ( t )</t>
  </si>
  <si>
    <t>Konserwy rybne - ( t )</t>
  </si>
  <si>
    <t>Frytki - ( t )</t>
  </si>
  <si>
    <t>Chipsy - ( t )</t>
  </si>
  <si>
    <t>Soki z owoców i warzyw - ( hl )</t>
  </si>
  <si>
    <t>Soki z owoców i warzyw - ( t )</t>
  </si>
  <si>
    <t>Sok pomidorowy - ( hl )</t>
  </si>
  <si>
    <t>Sok pomidorowy - ( t )</t>
  </si>
  <si>
    <t>Soki z owoców cytrusowych nieskoncentrowane - ( hl )</t>
  </si>
  <si>
    <t>Soki z owoców cytrusowych nieskoncentrowane - ( t )</t>
  </si>
  <si>
    <t>Soki owocowe nieskoncentrowane, bez cytrusowych - ( hl )</t>
  </si>
  <si>
    <t>Soki owocowe nieskoncentrowane, bez cytrusowych - ( t )</t>
  </si>
  <si>
    <t>Warzywa zamrożone - ( t )</t>
  </si>
  <si>
    <t>Konserwy warzywne - ( t )</t>
  </si>
  <si>
    <t>Marynaty warzywne - ( t )</t>
  </si>
  <si>
    <t>Dżemy z owoców innych niż cytrusowe - ( t )</t>
  </si>
  <si>
    <t>Olej sojowy z frakcjami rafinowany, jadalny - ( t )</t>
  </si>
  <si>
    <t>Olej słonecznikowy wraz z frakcjami rafinowany, jadalny - ( t )</t>
  </si>
  <si>
    <t>Olej rzepakowy i rzepikowy wraz z frakcjami rafinowany, jadalny - ( t )</t>
  </si>
  <si>
    <t>Margaryna i produkty do smarowania, o obniżonej lub niskiej zawartości tłuszczu, z wyłączeniem margaryny płynnej - ( t )</t>
  </si>
  <si>
    <t>Mleko płynne przetworzone - ( hl )</t>
  </si>
  <si>
    <t>Mleko spożywcze odtłuszczone - ( hl )</t>
  </si>
  <si>
    <t>Mleko spożywcze normalizowane - ( hl )</t>
  </si>
  <si>
    <t>Śmietana normalizowana - ( hl )</t>
  </si>
  <si>
    <t>Mleko i śmietana w postaci stałej - ( t )</t>
  </si>
  <si>
    <t>Masło - ( t )</t>
  </si>
  <si>
    <t>Sery i twarogi - ( t )</t>
  </si>
  <si>
    <t>Ser świeży (niedojrzewający i niekonserwowany ), włącznie z serem serwatkowym i twarogiem - ( t )</t>
  </si>
  <si>
    <t>Sery podpuszczkowe dojrzewające - ( t )</t>
  </si>
  <si>
    <t>Ser przetworzony (ser topiony ), z wyłączeniem tartego lub sproszkowanego - ( t )</t>
  </si>
  <si>
    <t>Jogurt - ( hl )</t>
  </si>
  <si>
    <t>Kazeina - ( t )</t>
  </si>
  <si>
    <t>Lody - ( hl )</t>
  </si>
  <si>
    <t>Mąka pszenna - ( t )</t>
  </si>
  <si>
    <t>Mąka żytnia - ( t )</t>
  </si>
  <si>
    <t>Kasze i mączki z pszenicy - ( t )</t>
  </si>
  <si>
    <t>Kasze i grysiki jęczmienne - ( t )</t>
  </si>
  <si>
    <t>Kasze i grysiki gryczane - ( t )</t>
  </si>
  <si>
    <t>Skrobia ziemniaczana - ( t )</t>
  </si>
  <si>
    <t>Pieczywo świeże - ( t )</t>
  </si>
  <si>
    <t>Pieczywo żytnie - ( t )</t>
  </si>
  <si>
    <t>Pieczywo pszenne - ( t )</t>
  </si>
  <si>
    <t>Pieczywo z mąki mieszanej pszennej i żytniej - ( t )</t>
  </si>
  <si>
    <t>Makaron - ( t )</t>
  </si>
  <si>
    <t>Cukier, w przeliczeniu na cukier biały - ( t )</t>
  </si>
  <si>
    <t>Melasy powstałe z ekstrakcji lub rafinacji cukru, z wyłączeniem melas trzcinowych - ( t )</t>
  </si>
  <si>
    <t>Czekolada i pozostałe przetwory zawierające kakao, o masie większej niż 2 kg, zawierające 18% lub więcej masy  - ( t )</t>
  </si>
  <si>
    <t>Czekolada itp. przetwory zawierające kakao, nadziewane, w blokach, tabliczkach, batonach - ( t )</t>
  </si>
  <si>
    <t>Czekolada itp. przetwory zawierające kakao, bez nadzienia, z dodatkiem zbóż, owoców lub orzechów - ( t )</t>
  </si>
  <si>
    <t>Cukierki czekoladowane - ( t )</t>
  </si>
  <si>
    <t>Biała czekolada - ( t )</t>
  </si>
  <si>
    <t>Toffi, karmelki i podobne cukierki - ( t )</t>
  </si>
  <si>
    <t>Wyroby wschodnie cukiernicze - ( t )</t>
  </si>
  <si>
    <t>Kawa palona, niepozbawiona kofeiny - ( t )</t>
  </si>
  <si>
    <t>Herbata w opakowaniach o zawartości nieprzekraczającej 3 kg - ( t )</t>
  </si>
  <si>
    <t>Ocet - ( hl 6% )</t>
  </si>
  <si>
    <t>Ketchup pomidorowy i pozostałe sosy pomidorowe - ( t )</t>
  </si>
  <si>
    <t>Gotowa musztarda - ( t )</t>
  </si>
  <si>
    <t>Majonez - ( t )</t>
  </si>
  <si>
    <t>Sól kamienna odpowiednia do spożycia przez ludzi - ( t )</t>
  </si>
  <si>
    <t>Sól warzona odpowiednia do spożycia przez ludzi - ( t )</t>
  </si>
  <si>
    <t>Zupy i buliony i preparaty do nich - ( t )</t>
  </si>
  <si>
    <t>Drożdże piekarnicze - ( t )</t>
  </si>
  <si>
    <t>Gotowe pasze dla zwierząt gospodarskich - ( t )</t>
  </si>
  <si>
    <t>Gotowa karma dla zwierząt domowych - ( t )</t>
  </si>
  <si>
    <t>Wódka czysta - ( hl 100% )</t>
  </si>
  <si>
    <t>Wina (gronowe ) - ( hl )</t>
  </si>
  <si>
    <t>Miody pitne - ( hl )</t>
  </si>
  <si>
    <t>Napoje fermentowane z wyjątkiem moszczów i miodów - ( hl )</t>
  </si>
  <si>
    <t>Piwo otrzymywane ze słodu - ( hl )</t>
  </si>
  <si>
    <t>Słód - ( t )</t>
  </si>
  <si>
    <t>Wody mineralne i wody gazowane, niesłodzone i niearomatyzowane - ( hl )</t>
  </si>
  <si>
    <t>Wody mineralne naturalne - ( hl )</t>
  </si>
  <si>
    <t>Wody z dodatkiem cukru i innych substancji słodzących lub aromatyzujących, włączając wody mineralne i gazowane - ( hl )</t>
  </si>
  <si>
    <t>Napoje owocowe - ( hl )</t>
  </si>
  <si>
    <t>Napoje owocowe - ( t )</t>
  </si>
  <si>
    <t>Wyroby tytoniowe - ( t )</t>
  </si>
  <si>
    <t>Papierosy z tytoniu lub mieszanek tytoniu z jego namiastkami - ( mln szt. )</t>
  </si>
  <si>
    <t>Len rozwłókniony, nieprzędziony, pakuły lniane i odpady lniane - ( kg )</t>
  </si>
  <si>
    <t>Nici bawełniane do szycia - ( kg )</t>
  </si>
  <si>
    <t>Przędza lniana, niepakowana do sprzedaży detalicznej - ( kg )</t>
  </si>
  <si>
    <t>Przędza z włókien syntetycznych odcinkowych, niepakowana do sprzedaży detalicznej - ( t )</t>
  </si>
  <si>
    <t>Przędza z syntetycznych włókien odcinkowych mieszana z wełną, niepakowana do sprzedaży datalicznej - ( t )</t>
  </si>
  <si>
    <t>Przędza (inna niż nici do szycia ) z włókien sztucznych odcinkowych, niepakowana do sprzedaży detalicznej - ( kg )</t>
  </si>
  <si>
    <t>Nici do szycia z włókien chemicznych - ( kg )</t>
  </si>
  <si>
    <t>Tkaniny ze zgrzebnej wełny lub ze zgrzebnej cienkiej sierści zwierzęcej - ( tys. m² )</t>
  </si>
  <si>
    <t>Tkaniny z wełny czesankowej - ( tys. m² )</t>
  </si>
  <si>
    <t>Tkaniny lniane, zawierające co naniej 85% masy lnu - ( tys. m² )</t>
  </si>
  <si>
    <t>Tkaniny lniane, zawierające mniej niż 85% masy lnu - ( tys. m² )</t>
  </si>
  <si>
    <t>Tkaniny bawełniane z wyłączeniem na gazę medyczną, bandaże i opatrunki - ( tys. m² )</t>
  </si>
  <si>
    <t>Tkaniny z przędzy z syntetycznych i sztucznych włókien ciągłych - ( tys. m² )</t>
  </si>
  <si>
    <t>Tkaniny z okrywą, tkaniny ręcznikowe, włączając frotte i inne specjalne - ( tys. m² )</t>
  </si>
  <si>
    <t>Koce i pledy, z wyłączeniem koców elektrycznych - ( szt. )</t>
  </si>
  <si>
    <t>Bielizna pościelowa - ( tys. szt. )</t>
  </si>
  <si>
    <t>Bielizna stołowa - ( tys. szt. )</t>
  </si>
  <si>
    <t>Wyroby tekstylne toaletowe i kuchenne - ( tys. szt. )</t>
  </si>
  <si>
    <t>Worki i torby w rodzaju stosowanych do pakowania towarów - ( kg )</t>
  </si>
  <si>
    <t>Dywany - ( tys. m² )</t>
  </si>
  <si>
    <t>Chodniki - ( tys. m² )</t>
  </si>
  <si>
    <t>Wykładziny - ( tys. m² )</t>
  </si>
  <si>
    <t>Żakiety, damskie lub dziewczęce, z dzianin - ( szt. )</t>
  </si>
  <si>
    <t>Kostiumy i komplety, damskie lub dziewczęce, z dzianin - ( szt. )</t>
  </si>
  <si>
    <t>Garnitury i komplety, męskie lub chłopięce, inne niż z dzianin - ( szt. )</t>
  </si>
  <si>
    <t>Marynarki i wdzianka, męskie lub chłopięce, z wyłączeniem dzianych i roboczych - ( szt. )</t>
  </si>
  <si>
    <t>Spodnie, ogrodniczki, bryczesy i szorty, męskie lub chłopięce (inne niż z dzianin ) - ( szt. )</t>
  </si>
  <si>
    <t>Kostiumy i komplety, damskie lub dziewczęce, inne niż z dzianin - ( szt. )</t>
  </si>
  <si>
    <t>Żakiety, damskie lub dziewczęce, z wyłączeniem z dzianin - ( szt. )</t>
  </si>
  <si>
    <t>Sukienki, spódnice i spódnico-spodnie, damskie lub dziewczęce (inne niż z dzianin ) - ( szt. )</t>
  </si>
  <si>
    <t>Spodnie, ogrodniczki, bryczesy i szorty, damskie lub dziewczęce (inne niż z dzianin ) - ( szt. )</t>
  </si>
  <si>
    <t>Koszule męskie lub chłopięce, z dzianin - ( tys. szt. )</t>
  </si>
  <si>
    <t>Bluzki, koszule i bluzy koszulowe, z dzianin, damskie lub dziewczęce - ( tys. szt. )</t>
  </si>
  <si>
    <t>Koszule męskie lub chłopięce (z wyłączeniem z dzianin ) - ( tys. szt. )</t>
  </si>
  <si>
    <t>Bluzki, koszule i bluzki koszulowe, damskie lub dziewczęce ( z wyłączeniem z dzianin ) - ( tys. szt. )</t>
  </si>
  <si>
    <t>Odzież futrzana damska lub dziewczęca - ( szt. )</t>
  </si>
  <si>
    <t>Wyroby pończosznicze - ( tys. szt. )</t>
  </si>
  <si>
    <t>Rajstopy i trykoty - ( tys. szt. )</t>
  </si>
  <si>
    <t>Skarpety - ( tys. par )</t>
  </si>
  <si>
    <t>Blezery, pulowery, swetry rozpinane, kamizelki i podobne wyroby dziane - ( tys. szt. )</t>
  </si>
  <si>
    <t>Skóry miękkie bydlęce z licem na obuwie (oprócz skór całych ) - ( t )</t>
  </si>
  <si>
    <t>Dwoiny bydlęce - ( tys. m² )</t>
  </si>
  <si>
    <t>Skóry bydlęce wyprawione lub skóry zwierząt jednokopytnych wyprawione, bez sierści - ( t )</t>
  </si>
  <si>
    <t>Torby bagażowe, torebki ręczne i podobne wyroby z dowolnego materiału - ( tys. szt. )</t>
  </si>
  <si>
    <t>Torebki ręczne, skórzane - ( tys. szt. )</t>
  </si>
  <si>
    <t>Obuwie ogółem łącznie z gumowym - ( tys. par )</t>
  </si>
  <si>
    <t>Obuwie z wierzchami wykonanymi ze skóry - ( tys. par )</t>
  </si>
  <si>
    <t>Obuwie z wierzchami wykonanymi z tkanin, z wyłączeniem obuwia sportowego - ( tys. par )</t>
  </si>
  <si>
    <t>Tarcica iglasta - ( m³ )</t>
  </si>
  <si>
    <t>Tarcica liściasta - ( m³ )</t>
  </si>
  <si>
    <t>Tarcica ogółem - ( m³ )</t>
  </si>
  <si>
    <t>Sklejka składająca się wyłącznie z arkuszy drewna - ( m³ )</t>
  </si>
  <si>
    <t>Płyty wiórowe i podobne płyty z drewna lub pozostałych materiałów drewnopochodnych - ( m³ )</t>
  </si>
  <si>
    <t>Płyty pilśniowe z drewna lub pozostałych materiałów drewnopochodnych - ( tys. m² )</t>
  </si>
  <si>
    <t>Okleiny - ( tys. m² )</t>
  </si>
  <si>
    <t>Połączone płyty podłogowe na podłogi mozaikowe, z drewna - ( m² )</t>
  </si>
  <si>
    <t>Połączone płyty podłogowe, z drewna, z wyłączeniem płyt na podłogi mozaikowe - ( m² )</t>
  </si>
  <si>
    <t>Okna i drzwi, ościeżnice i progi, z drewna - ( m² )</t>
  </si>
  <si>
    <t>Okna, okna balkonowe i ich ramy, z drewna - ( szt. )</t>
  </si>
  <si>
    <t>Drzwi, ich futryny oraz progi, z drewna - ( szt. )</t>
  </si>
  <si>
    <t>Przybory stołowe i kuchenne, z drewna - ( t )</t>
  </si>
  <si>
    <t>Masa celulozowa drzewna sodowa lub siarczanowa, inna niż do przerobu chemicznego - ( t )</t>
  </si>
  <si>
    <t>Masy włókniste drzewne mechaniczne i półchemiczne, masy włókniste z pozostałych surowców celulozowych - ( t )</t>
  </si>
  <si>
    <t>Papier i tektura - ( t )</t>
  </si>
  <si>
    <t>Papier gazetowy w zwojach lub arkuszach - ( t )</t>
  </si>
  <si>
    <t>Pozostały papier i tektura do celów graficznych - ( t )</t>
  </si>
  <si>
    <t>Papier i karton stosowany do celów graficznych, zawierający mniej niż 10% masy włókien - ( t )</t>
  </si>
  <si>
    <t>Papier siarczanowy niepowleczony na warstwę pokryciową tektury falistej niebielony - ( t )</t>
  </si>
  <si>
    <t>Papier półchemiczny na warstwę pofalowaną - ( t )</t>
  </si>
  <si>
    <t>Papier pakowy i tektura siarczanowa, niepowleczone pozostałe; papier siarczanowy workowy, krepowany lub marszczony - ( t )</t>
  </si>
  <si>
    <t>Tektura falista - ( t )</t>
  </si>
  <si>
    <t>Worki i torby z papieru - ( t )</t>
  </si>
  <si>
    <t>Kartony,pudła i pudełka z papieru i tektury - ( t )</t>
  </si>
  <si>
    <t>Papier toaletowy - ( t )</t>
  </si>
  <si>
    <t>Ręczniki z masy papierniczej, papieru, waty celulozowej lub wstęg z włókien celulozowych - ( t )</t>
  </si>
  <si>
    <t>Koks - ( t )</t>
  </si>
  <si>
    <t>Koks z węgla kamiennego - ( t )</t>
  </si>
  <si>
    <t>Koks wielkopiecowy - ( t )</t>
  </si>
  <si>
    <t>Koks przemysłowo-opałowy - ( t )</t>
  </si>
  <si>
    <t>Smoła destylowana z węgla kamiennego i brunatnego (lignitu ) lub torfu; pozostałe smoły mineralne - ( t )</t>
  </si>
  <si>
    <t>Benzyna silnikowa, włączając benzynę lotniczą - ( t )</t>
  </si>
  <si>
    <t>Benzyna silnikowa, bezołowiowa - ( t )</t>
  </si>
  <si>
    <t>Oleje napędowe - ( t )</t>
  </si>
  <si>
    <t>Oleje napędowe do szybkoobrotowych silników z zapłonem samoczynnym (paliwo dieslowe ) - ( t )</t>
  </si>
  <si>
    <t>Oleje opałowe - ( t )</t>
  </si>
  <si>
    <t>Asfalty - ( t )</t>
  </si>
  <si>
    <t>Biel cynkowa - ( t )</t>
  </si>
  <si>
    <t>Środki barwiące organiczne syntetyczne oraz preparaty na ich bazie, organiczne wyroby syntetyczne - ( t )</t>
  </si>
  <si>
    <t>Syntetyczne, organiczne substancje garbujące - ( t 100% )</t>
  </si>
  <si>
    <t>Pigmenty i preparaty, na bazie ditlenku tytanu, zawierające 80% masy ditlenku tytanu lub więcej - ( t )</t>
  </si>
  <si>
    <t>Pigmenty i preparaty, na bazie ditlenku tytanu, zawierające 80% masy ditlenku tytanu lub więcej - ( t TiO₂ )</t>
  </si>
  <si>
    <t>Chlor - ( t Cl )</t>
  </si>
  <si>
    <t>Kwas solny techniczny - ( t HCl )</t>
  </si>
  <si>
    <t>Kwas siarkowy - ( t H₂SO₄ )</t>
  </si>
  <si>
    <t>Oleum - ( t H₂SO₄ )</t>
  </si>
  <si>
    <t>Kwas fosforowy (kwas ortofosforowy ) - ( t P₂O₅ )</t>
  </si>
  <si>
    <t>Wodorotlenek sodu (soda kaustyczna ), stały - ( t )</t>
  </si>
  <si>
    <t>Wodorotlenek sodu (soda kaustyczna ), stały - ( t 96% NaOH )</t>
  </si>
  <si>
    <t>Wodorotlenek sodu (soda kaustyczna ), stały - ( t NaOH )</t>
  </si>
  <si>
    <t>Wodorotlenek sodu w roztworze wodnym (ług sodowy lub ciekła soda kaustyczna ) - ( t )</t>
  </si>
  <si>
    <t>Wodorotlenek sodu w roztworze wodnym (ług sodowy lub ciekła soda kaustyczna ) - ( t 96% NaOH )</t>
  </si>
  <si>
    <t>Wodorotlenek sodu w roztworze wodnym (ług sodowy lub ciekła soda kaustyczna ) - ( t NaOH )</t>
  </si>
  <si>
    <t>Węglan sodu - ( t Na₂CO₃ )</t>
  </si>
  <si>
    <t>Siarka, z wyłączeniem siarki sublimowanej, strącanej i koloidalnej - ( t )</t>
  </si>
  <si>
    <t>Siarka, z wyłączeniem siarki sublimowanej, strącanej i koloidalnej - ( t S )</t>
  </si>
  <si>
    <t>Etylen - ( t )</t>
  </si>
  <si>
    <t>Propen (propylen ) - ( t )</t>
  </si>
  <si>
    <t>Butadien - 1, 3 - ( t )</t>
  </si>
  <si>
    <t>Acetylen techniczny, rozpuszczalny (spawalniczy ) - ( t )</t>
  </si>
  <si>
    <t>Benzen - ( t )</t>
  </si>
  <si>
    <t>Toluen - ( t )</t>
  </si>
  <si>
    <t>o-Ksylen - ( t )</t>
  </si>
  <si>
    <t>p-Ksylen - ( t )</t>
  </si>
  <si>
    <t>Metanol - ( t CH₃OH )</t>
  </si>
  <si>
    <t>Butanol-1 (alkohol n-butylowy ) - ( t C₄H₉OH )</t>
  </si>
  <si>
    <t>Butanole (inne niż butanol-1 ) - ( t )</t>
  </si>
  <si>
    <t>Glicerol (także syntetyczny ), z wyłączeniem surowego, wód glicerolowych i ługów glicerolowych - ( t )</t>
  </si>
  <si>
    <t>Fenol - ( t )</t>
  </si>
  <si>
    <t>Fenol - ( t C₆H₅OH )</t>
  </si>
  <si>
    <t>Kwas octowy - ( t )</t>
  </si>
  <si>
    <t>Kwas octowy - ( t CH₃COOH )</t>
  </si>
  <si>
    <t>Bezwodnik ftalowy; kwas tereftalowy i jego sole - ( t )</t>
  </si>
  <si>
    <t>6-heksanolaktam (epsilon-kaprolaktam ) - ( t )</t>
  </si>
  <si>
    <t>Metanal (formaldehyd ) - ( t )</t>
  </si>
  <si>
    <t>Aceton - ( t )</t>
  </si>
  <si>
    <t>Węgiel drzewny - ( t )</t>
  </si>
  <si>
    <t>Benzol (benzen ) - ( t )</t>
  </si>
  <si>
    <t>Spirytus rektyfikowany - ( hl 100% )</t>
  </si>
  <si>
    <t>Alkohol etylowy skażony i pozostałe skażone wyroby alkoholowe o dowolnej mocy - ( hl 100% )</t>
  </si>
  <si>
    <t>Nawozy ogółem - ( t )</t>
  </si>
  <si>
    <t>Kwas azotowy techniczny - ( t HNO₃ )</t>
  </si>
  <si>
    <t>Amoniak gazowy syntetyczny - ( t NH₃ )</t>
  </si>
  <si>
    <t>Amoniak ciekły syntetyczny (skroplony ) - ( t NH₃ )</t>
  </si>
  <si>
    <t>Nawozy azotowe mineralne lub chemiczne - ( t )</t>
  </si>
  <si>
    <t>Nawozy azotowe łącznie z nawozami wieloskładnikowymi w przeliczeniu na czysty składnik - ( t N )</t>
  </si>
  <si>
    <t>Siarczan amonu - ( t )</t>
  </si>
  <si>
    <t>Siarczan amonu - ( t N )</t>
  </si>
  <si>
    <t>Azotan amonu (inny niż w tabletkach lub w podobnych postaciach lub w opakowaniach o masie brutto nieprzekraczającej 10 kg - ( t )</t>
  </si>
  <si>
    <t>Azotan amonu (inny niż w tabletkach lub w podobnych postaciach lub w opakowaniach o masie brutto nieprzekraczającej 10 kg ) - ( t N )</t>
  </si>
  <si>
    <t>Mieszaniny azotanu amonu z węglanem wapnia, o zawartości azotu nieprzekraczającej 28% masy - ( t )</t>
  </si>
  <si>
    <t>Mieszaniny azotanu amonu z węglanem wapnia, o zawartości azotu nieprzekraczającej 28% masy - ( t 25% N )</t>
  </si>
  <si>
    <t>Mieszaniny azotanu amonu z węglanem wapnia, o zawartości azotu nieprzekraczającej 28% masy - ( t N )</t>
  </si>
  <si>
    <t>Mieszaniny azotanu amonu z węglanem wapnia, o zawartości azotu przekraczającej 28% masy - ( t )</t>
  </si>
  <si>
    <t>Mieszaniny azotanu amonu z węglanem wapnia, o zawartości azotu przekraczającej 28% masy - ( t 25% N )</t>
  </si>
  <si>
    <t>Mieszaniny azotanu amonu z węglanem wapnia, o zawartości azotu przekraczającej 28% masy - ( t N )</t>
  </si>
  <si>
    <t>Nawozy fosforowe, mineralne lub chemiczne - ( t )</t>
  </si>
  <si>
    <t>Nawozy fosforowe z nawozami wieloskładnikowymi - ( t P₂O₅ )</t>
  </si>
  <si>
    <t>Superfosfaty - ( t )</t>
  </si>
  <si>
    <t>Superfosfaty - ( t P₂O₅ )</t>
  </si>
  <si>
    <t>Nawozy potasowe, mineralne lub chemiczne - ( t )</t>
  </si>
  <si>
    <t>Nawozy potasowe z nawozami wieloskładnikowymi - ( t K₂O )</t>
  </si>
  <si>
    <t>Nawozy wieloskładnikowe, bez azotanu potasu - ( t )</t>
  </si>
  <si>
    <t>Tworzywa sztuczne - ( t )</t>
  </si>
  <si>
    <t>Polimery etylenu - ( t )</t>
  </si>
  <si>
    <t>Polietylen - ( t )</t>
  </si>
  <si>
    <t>Polimery styrenu w formach podstawowych - ( t )</t>
  </si>
  <si>
    <t>Polistyren do spienienia, w formach podstawowych - ( t )</t>
  </si>
  <si>
    <t>Polistyren (inny niż do spienienia ), w formach podstawowych - ( t )</t>
  </si>
  <si>
    <t>Polichlorek winylu, niezmieszany z innymi substancjami, w formach podstawowych - ( t )</t>
  </si>
  <si>
    <t>Polichlorek winylu nieuplastyczniony, zmieszany z dowolną substancją, w formach podstawowych - ( t )</t>
  </si>
  <si>
    <t>Polichlorek winylu uplastyczniony, zmieszany z dowolną substancją, w formach podstawowych - ( t )</t>
  </si>
  <si>
    <t>Żywice epoksydowe, w formach podstawowych - ( t )</t>
  </si>
  <si>
    <t>Żywice alkidowe, w formach podstawowych - ( t )</t>
  </si>
  <si>
    <t>Polimery propylenu lub innych alkenów, w formach podstawowych - ( t )</t>
  </si>
  <si>
    <t>Polipropylen, w formach podstawowych - ( t )</t>
  </si>
  <si>
    <t>Polimery akrylu w formach podstawowych - ( t )</t>
  </si>
  <si>
    <t>Poliamidy - ( t )</t>
  </si>
  <si>
    <t>Celuloza i jej pochodne chemiczne, w formach podstawowych - ( t )</t>
  </si>
  <si>
    <t>Kauczuk syntetyczny - ( t )</t>
  </si>
  <si>
    <t>Lateks syntetyczny - ( t )</t>
  </si>
  <si>
    <t>Pestycydy - ( t )</t>
  </si>
  <si>
    <t>Farby, lakiery i podobne środki pokrywające, farba drukarska, gotowe sykatywy i masy uszczelniające - ( t )</t>
  </si>
  <si>
    <t>Farby i pokosty (włącznie z emaliami i lakierami ), na bazie polimerów akrylowych lub winylowych, w środowisku wodnym - ( hl )</t>
  </si>
  <si>
    <t>Farby i pokosty (włącznie z emaliami i lakierami ), na bazie polimerów akrylowych lub winylowych, w środowisku wodnym - ( t )</t>
  </si>
  <si>
    <t>Farby i pokosty , na bazie polimerów syntetycznych lub polimerów naturalnych modyfikowanych chemicznie, w środowisku niewodnym - ( t )</t>
  </si>
  <si>
    <t>Farby i pokosty (łącznie z emaliami i lakierami ), na bazie poliestrów, rozproszone lub rozpuszczone w środowisku niewodnym - ( hl )</t>
  </si>
  <si>
    <t>Farby i pokosty (łącznie z emaliami i lakierami ), na bazie poliestrów, rozproszone lub rozpuszczone w środowisku niewodnym - ( t )</t>
  </si>
  <si>
    <t>Farby i pokosty (włącznie z emaliami i lakierami ), na bazie poliestrów, rozproszone lub rozpuszczone w pozostałe - ( hl )</t>
  </si>
  <si>
    <t>Farby i pokosty (włącznie z emaliami i lakierami ), na bazie poliestrów, rozproszone lub rozpuszczone w pozostałe - ( t )</t>
  </si>
  <si>
    <t>Farby i pokosty (włącznie z emaliami i lakierami ), na bazie polimerów akrylowych lub winylowych,przekraczającej 50% masy roztworu - ( hl )</t>
  </si>
  <si>
    <t>Farby i pokosty (włącznie z emaliami i lakierami ), na bazie polimerów akrylowych lub winylowych,przekraczającej 50% masy roztworu - ( t )</t>
  </si>
  <si>
    <t>Farby i pokosty (włącznie z emaliami i lakierami ), na bazie polimerów akrylowych lub winylowych, pozostałe - ( hl )</t>
  </si>
  <si>
    <t>Farby i pokosty (włącznie z emaliami i lakierami ), na bazie polimerów akrylowych lub winylowych, pozostałe - ( t )</t>
  </si>
  <si>
    <t>Szkliste emalie i glazury, pobiałki (masy lejne ) i podobne preparaty, w rodzaju stosowanych w przemyśle - ( t )</t>
  </si>
  <si>
    <t>Materiały ciekłe do wytwarzania połysku i podobne preparaty, fryta szklana i pozostałe szkło, w postaci proszku - ( t )</t>
  </si>
  <si>
    <t>Farby suche - ( t )</t>
  </si>
  <si>
    <t>Preparaty powierzchniowe nieogniotrwałe, na fasady, ściany wewnętrzne, sufity itp. - ( t )</t>
  </si>
  <si>
    <t>Rozpuszczalniki i rozcieńczalniki organiczne złożone, gotowe zmywacze farb i lakierów, na bazie octanu butylu - ( t )</t>
  </si>
  <si>
    <t>Rozpuszczalniki i rozcieńczalniki organiczne złożone, pozostałe - ( t )</t>
  </si>
  <si>
    <t>Mydło i produkty organiczne powierzchniowo czynne i preparaty stosowane jako mydło - ( t )</t>
  </si>
  <si>
    <t>Preparaty do prania i czyszczenia, nawet zawierające mydło, pakowane do sprzedaży detalicznej - ( t )</t>
  </si>
  <si>
    <t>Preparaty powierzchniowo czynne, nawet zawierające mydło, niepakowane do sprzedaży detalicznej - ( t )</t>
  </si>
  <si>
    <t>Kosmetyki do pielęgnacji włosów - ( t )</t>
  </si>
  <si>
    <t>Zapałki - ( t )</t>
  </si>
  <si>
    <t>Kleje na bazie kauczuku naturalnego - ( t )</t>
  </si>
  <si>
    <t>Kleje na bazie żywic syntetycznych - ( t )</t>
  </si>
  <si>
    <t>Kleje na bazie kauczuku syntetycznego - ( t )</t>
  </si>
  <si>
    <t>Mieszaniny substancji zapachowych stosowane w przemyśle spożywczym i do produkcji napojów - ( kg )</t>
  </si>
  <si>
    <t>Środki przeciwstukowe; dodatki do olejów mineralnych i podobnych wyrobów - ( t )</t>
  </si>
  <si>
    <t>Środki zapobiegające zamarzaniu i płyny przeciwoblodzeniowe - ( t )</t>
  </si>
  <si>
    <t>Węgiel aktywny - ( kg )</t>
  </si>
  <si>
    <t>Włókna chemiczne - ( t )</t>
  </si>
  <si>
    <t>Włókna syntetyczne - ( t )</t>
  </si>
  <si>
    <t>Kabel i włókna cięte syntetyczne, niezgrzeblone, nieczesane, z poliestrów - ( t )</t>
  </si>
  <si>
    <t>Sulfonamidy - ( kg )</t>
  </si>
  <si>
    <t>Prowitaminy, witaminy i ich pochodne - ( t )</t>
  </si>
  <si>
    <t>Zioła paczkowane farmaceutyczne - ( kg )</t>
  </si>
  <si>
    <t>Wyroby z gumy - ( t )</t>
  </si>
  <si>
    <t>Opony i dętki z gumy - ( tys. szt. )</t>
  </si>
  <si>
    <t>Opony ogółem, bez bieżnikowanych - ( tys. szt. )</t>
  </si>
  <si>
    <t>Opony do pojazdów samochodowych osobowych - ( t )</t>
  </si>
  <si>
    <t>Opony do pojazdów samochodowych osobowych - ( tys. szt. )</t>
  </si>
  <si>
    <t>Opony radialne - ( tys. szt. )</t>
  </si>
  <si>
    <t>Opony do pojazdów samochodowych ciężarowych i autobusów - ( t )</t>
  </si>
  <si>
    <t>Opony do pojazdów samochodowych ciężarowych i autobusów - ( tys. szt. )</t>
  </si>
  <si>
    <t>Opony do pojazdów i maszyn rolniczych, leśnych (w tym do ciągników ) - ( t )</t>
  </si>
  <si>
    <t>Opony do pojazdów i maszyn rolniczych, leśnych (w tym do ciągników ) - ( tys. szt. )</t>
  </si>
  <si>
    <t>Opony bieżnikowane z gumy - ( szt. )</t>
  </si>
  <si>
    <t>Opony bieżnikowane z gumy - ( t )</t>
  </si>
  <si>
    <t>Przewody, rury i węże z gumy innej niż ebonit - ( kg )</t>
  </si>
  <si>
    <t>Przewody giętkie wzmocnione metalem, z gumy (z wyjątkiem ebonitowych ) - ( kg )</t>
  </si>
  <si>
    <t>Przewody giętkie wzmocnione metalem, z gumy (z wyjątkiem ebonitowych ) - ( km )</t>
  </si>
  <si>
    <t>Pasy lub taśmy przenośnikowe, z gumy - ( t )</t>
  </si>
  <si>
    <t>Tkaniny gumowane, z wyłączeniem tkaniny kordowej na opony - ( kg )</t>
  </si>
  <si>
    <t>Rury, przewody i węże, sztywne, z polimerów etylenu - ( t )</t>
  </si>
  <si>
    <t>Rury, przewody i węże, sztywne, z polimerów chlorku winylu - ( t )</t>
  </si>
  <si>
    <t>Wyposażenie z tworzyw sztucznych do rur, przewodów i węży - ( t )</t>
  </si>
  <si>
    <t>Worki i torby, włączając stożki, z polimerów etylenu - ( t )</t>
  </si>
  <si>
    <t>Pudełka, skrzynki, klatki i podobne artykuły z tworzyw sztucznych - ( t )</t>
  </si>
  <si>
    <t>Wyroby z tworzyw sztucznych dla budownictwa - ( t )</t>
  </si>
  <si>
    <t>Pokrycia podłogowe (wykładziny ), ścienne lub sufitowe z tworzyw sztucznych w rolkach lub w formie płytek  - ( t )</t>
  </si>
  <si>
    <t>Pokrycia podłogowe (wykładziny ), ścienne lub sufitowe z tworzyw sztucznych w rolkach lub w formie płytek  - ( tys. m² )</t>
  </si>
  <si>
    <t>Pokrycia podłogowe (wykładziny ) z polimerów chlorku winylu - ( t )</t>
  </si>
  <si>
    <t>Wanny z tworzyw sztucznych - ( szt. )</t>
  </si>
  <si>
    <t>Umywalki z tworzyw sztucznych - ( szt. )</t>
  </si>
  <si>
    <t>Okna z tworzyw sztucznych dla budownictwa - ( szt. )</t>
  </si>
  <si>
    <t>Drzwi z tworzyw sztucznych dla budownictwa - ( szt. )</t>
  </si>
  <si>
    <t>Szyby (tafle szklane ) niezbrojone ze szkła lanego i walcowanego, nawet z warstwą pochłaniającą - ( t )</t>
  </si>
  <si>
    <t>Szyby (tafle szklane ) zbrojone lub kształtki ze szkła lanego i walcowanego, nawet z warstwą pochłaniającą - ( t )</t>
  </si>
  <si>
    <t>Szkło typu "float" i szkło powierzchniowo zagruntowane lub polerowane, w arkuszach, niepoddane innej obróbce - ( tys. m² )</t>
  </si>
  <si>
    <t>Szkło bezpieczne hartowane, o wymiarach i kształtach odpowiednich do wbudowania w pojazdach - ( t )</t>
  </si>
  <si>
    <t>Szkło bezpieczne wielowarstwowe, o wymiarach i kształtach odpowiednich do wbudowania w pojazdach - ( t )</t>
  </si>
  <si>
    <t>Szyby zespolone jednokomorowe - ( tys. m² )</t>
  </si>
  <si>
    <t>Szyby zespolone wielokomorowe - ( tys. m² )</t>
  </si>
  <si>
    <t>Butelki ze szkła bezbarwnego o pojemności nominalnej mniejszej niż 2,5 litra do napojów i artykułów spożywczych - ( tys. szt. )</t>
  </si>
  <si>
    <t>Butelki ze szkła barwnego o pojemności nominalnej mniejszej niż 2,5 litra do napojów i artykułów spożywczych - ( tys. szt. )</t>
  </si>
  <si>
    <t>Szklanki i kieliszki, z wyłączeniem szklano-ceramicznych - ( tys. szt. )</t>
  </si>
  <si>
    <t>Szklanki i kieliszki (w tym szklanki i kieliszki na nóżce ), ze szkła ołowiowego nabieranego mechanicznie - ( tys. szt. )</t>
  </si>
  <si>
    <t>Szklanki i kieliszki ze szkła hartowanego oraz niehartowanego nabieranego mechanicznie - ( tys. szt. )</t>
  </si>
  <si>
    <t>Wyroby stołowe lub kuchenne, ze szkła nabieranego ręcznie (z wyłączeniem z tworzywa szklano-ceramicznego ) - ( tys. szt. )</t>
  </si>
  <si>
    <t>Maty z włókna szklanego (włączając z waty szklanej ) - ( t )</t>
  </si>
  <si>
    <t>Filce, materace i płyty, z włókna szklanego nietkanego - ( t )</t>
  </si>
  <si>
    <t>Osłony szklane otwarte oraz ich szklane części do lamp elektrycznych, lamp elektronopromieniowych i podobnych - ( t )</t>
  </si>
  <si>
    <t>Ogniotrwałe ceramiczne wyroby konstrukcyjne zawierające więcej niż 50% MgO, CaO, Cr2O3, włączając cegły, płyty - ( t )</t>
  </si>
  <si>
    <t>Cegły, bloki, płytki i podobne ogniotrwałe ceramiczne wyroby konstrukcyjne zawierające więcej niż 7% ale mniej niż 45% - ( t )</t>
  </si>
  <si>
    <t>Płytki ceramiczne i płyty chodnikowe - ( tys. m² )</t>
  </si>
  <si>
    <t>Płyty chodnikowe, kafle lub płytki ścienne, szkliwione, kamionkowe, o powierzchni czołowej przekraczającej 90 cm2 - ( tys. m² )</t>
  </si>
  <si>
    <t>Płyty chodnikowe, kafle lub płytki ścienne, szkliwione, z ceramiki porowatej lub szlachetnej, o powierzchni czołowej przekraczającej 90 cm2 - ( tys. m² )</t>
  </si>
  <si>
    <t>Płyty chodnikowe, kafle lub płytki ścienne, szkliwione, z ceramiki porowatej lub szlachetnej, o powierzchni czołowej nieprzekraczającej 90 cm2 - ( tys. m² )</t>
  </si>
  <si>
    <t>Cegła ogółem - ( tys. ceg )</t>
  </si>
  <si>
    <t>Cegły budowlane, ceramiczne (z wyłączeniem wyrobów ogniotrwałych oraz z krzemionkowych skał kopalnych ) - ( tys. ceg )</t>
  </si>
  <si>
    <t>Cegła wypalana z gliny - ( tys. ceg )</t>
  </si>
  <si>
    <t>Pustaki ścienne ceramiczne - ( tys. ceg )</t>
  </si>
  <si>
    <t>Pustaki stropowe, ceramiczne - ( tys. szt. )</t>
  </si>
  <si>
    <t>Dachówki i podobne elementy dachowe, ceramiczne i nieogniotrwałe - ( tys. szt. )</t>
  </si>
  <si>
    <t>Wyroby konstrukcyjne ceramiczne, nieogniotrwałe (włączając nasady kominowe, osłony, wykładziny kominowe - ( t )</t>
  </si>
  <si>
    <t>Rury, przewody, rynny i osprzęt do rur, ceramiczne - ( t )</t>
  </si>
  <si>
    <t>Rurki drenarskie, ceramiczne - ( tys. szt. )</t>
  </si>
  <si>
    <t>Zastawy stołowe i naczynia kuchenne z porcelany, również chińskiej (z wyłączeniem aparatów elektrotermicznych, - ( t )</t>
  </si>
  <si>
    <t>Zastawy stołowe, naczynia kuchenne i pozostałe artykuły gospodarstwa domowego i toaletowe, z kamionki - ( t )</t>
  </si>
  <si>
    <t>Wyroby sanitarne ceramiczne - ( t )</t>
  </si>
  <si>
    <t>Wyroby sanitarne z porcelany, również chińskiej - ( t )</t>
  </si>
  <si>
    <t>Izolatory elektryczne, ceramiczne, z wyłączeniem elementów izolacyjnych - ( t )</t>
  </si>
  <si>
    <t>Klinkier cementowy - ( t )</t>
  </si>
  <si>
    <t>Cement portlandzki, cement glinowy, cement żużlowy i podobne rodzaje cementu hydraulicznego - ( t )</t>
  </si>
  <si>
    <t>Cement portlandzki - ( t )</t>
  </si>
  <si>
    <t>Cementy hydrauliczne, pozostałe - ( t )</t>
  </si>
  <si>
    <t>Wapno palone, gaszone i hydrauliczne - ( t )</t>
  </si>
  <si>
    <t>Wapno gaszone - ( t )</t>
  </si>
  <si>
    <t>Spoiwa gipsowe gotowe (włączając do stosowania w budownictwie, do klejenia tkanin lub wyrównywania powierzchni - ( t )</t>
  </si>
  <si>
    <t>Dolomit kalcynowany lub spiekany włączając dolomit wstępnie obrobiony lub tylko pocięty - ( t )</t>
  </si>
  <si>
    <t>Bloki ścienne z betonu lekkiego (z wyłączeniem bloków ściennych z betonu zwykłego ) - ( m³ )</t>
  </si>
  <si>
    <t>Bloki ścienne z betonu lekkiego (z wyłączeniem bloków ściennych z betonu zwykłego ) - ( t )</t>
  </si>
  <si>
    <t>Elementy ścienne silikatowe - ( t )</t>
  </si>
  <si>
    <t>Cegła silikatowa - ( tys. ceg )</t>
  </si>
  <si>
    <t>Płyty chodnikowe i podobne wyroby z betonu - ( t )</t>
  </si>
  <si>
    <t>Prefabrykowane elementy konstrukcyjne dla budownictwa lub inżynierii lądowej lub wodnej z cementu, betonu - ( t )</t>
  </si>
  <si>
    <t>Bloki i płyty ścienne gipsowe - ( t )</t>
  </si>
  <si>
    <t>Masa betonowa prefabrykowana (beton gotowy do wylania ) - ( t )</t>
  </si>
  <si>
    <t>Zaprawy murarskie - ( t )</t>
  </si>
  <si>
    <t>Wyroby ścierne - ( t )</t>
  </si>
  <si>
    <t>Papa - ( tys. m² )</t>
  </si>
  <si>
    <t>Wyroby izolacji termicznej z wełny mineralnej - ( t )</t>
  </si>
  <si>
    <t>Surówka żelaza - ( t )</t>
  </si>
  <si>
    <t>Żelazokrzem - ( t )</t>
  </si>
  <si>
    <t>Stal surowa - ( t )</t>
  </si>
  <si>
    <t>Stal konwertorowa - ( t )</t>
  </si>
  <si>
    <t>Stal elektryczna - ( t )</t>
  </si>
  <si>
    <t>Wyroby walcowane na gorąco (bez półwyrobów ) - ( t )</t>
  </si>
  <si>
    <t>Wyroby płaskie ogółem - ( t )</t>
  </si>
  <si>
    <t>Blachy grube i cienkie - ( t )</t>
  </si>
  <si>
    <t>Wyroby długie - ( t )</t>
  </si>
  <si>
    <t>Blachy walcowane na zimno - ( t )</t>
  </si>
  <si>
    <t>Blachy ocynkowane - ( t )</t>
  </si>
  <si>
    <t>Pręty i płaskowniki - ( t )</t>
  </si>
  <si>
    <t>Sztaby i pręty walcowane na gorąco - ( t )</t>
  </si>
  <si>
    <t>Szyny stalowe - ( t )</t>
  </si>
  <si>
    <t>Rury stalowe bez szwu - ( km )</t>
  </si>
  <si>
    <t>Rury stalowe bez szwu - ( t )</t>
  </si>
  <si>
    <t>Rury stalowe ze szwem - ( km )</t>
  </si>
  <si>
    <t>Rury stalowe ze szwem - ( t )</t>
  </si>
  <si>
    <t>Rury stalowe - ( t )</t>
  </si>
  <si>
    <t>Profile formowane na zimno, otrzymywane z wyrobów płaskich ze stali niestopowej, niepokryte - ( t )</t>
  </si>
  <si>
    <t>Profile formowane na zimno, otrzymywane z wyrobów płaskich ze stali niestopowej, pokryte cynkiem - ( t )</t>
  </si>
  <si>
    <t>Drut ciągniony na zimno, ze stali niestopowej - ( t )</t>
  </si>
  <si>
    <t>Drut ze stali nierdzewnej lub innej stali stopowej - ( t )</t>
  </si>
  <si>
    <t>Srebro o wysokiej czystości - ( kg )</t>
  </si>
  <si>
    <t>Aluminium nieobrobione, technicznie czyste - hutnicze - ( t )</t>
  </si>
  <si>
    <t>Aluminium nieobrobione plastycznie technicznie czyste - do odtleniania stali - ( t )</t>
  </si>
  <si>
    <t>Ołów rafinowany, nieobrobiony plastycznie - ( t )</t>
  </si>
  <si>
    <t>Cynk technicznie czysty, niestopowy - ( t )</t>
  </si>
  <si>
    <t>Miedź konwertorowa z surowców pierwotnych - ( t )</t>
  </si>
  <si>
    <t>Miedź konwertorowa z surowców wtórnych - ( t )</t>
  </si>
  <si>
    <t>Miedź rafinowana nieobrobiona plastycznie, niestopowa - ( t )</t>
  </si>
  <si>
    <t>Katody i części katod z miedzi rafinowanej - ( t )</t>
  </si>
  <si>
    <t>Drzwi i ich futryny, progi drzwiowe, stalowe (drzwi z futryną lub bez lub z progiem traktowane są jako jedna s - ( szt. )</t>
  </si>
  <si>
    <t>Okna, świetliki i iluminatory stalowe (nieszklone ) i ich futryny - ( szt. )</t>
  </si>
  <si>
    <t>Drzwi i ich futryny oraz progi drzwiowe aluminiowe - ( szt. )</t>
  </si>
  <si>
    <t>Okna, świetliki i iluminatory, aluminiowe (w tym: okna nieoszklone ) i ich futryny - ( szt. )</t>
  </si>
  <si>
    <t>Grzejniki centralnego ogrzewania i ich części, z żeliwa - ( kg )</t>
  </si>
  <si>
    <t>Grzejniki nieelektryczne i ich części, ze stali - ( kg )</t>
  </si>
  <si>
    <t>Pojemniki na sprężony lub skroplony gaz, z metalu - ( t )</t>
  </si>
  <si>
    <t>Sztućce łącznie z nożami (w tym z nożami do masła i do ryb ) - ( t )</t>
  </si>
  <si>
    <t>Sztućce łącznie z nożami (w tym z nożami do masła i do ryb ) - ( tys. szt. )</t>
  </si>
  <si>
    <t>Narzędzia ręczne w rodzaju stosowanych w rolnictwie, ogrodnictwie lub leśnictwie - ( kg )</t>
  </si>
  <si>
    <t>Formy do szkła - ( kg )</t>
  </si>
  <si>
    <t>Formy do szkła - ( szt. )</t>
  </si>
  <si>
    <t>Formy typu wtryskowego lub tłocznego do gumy lub tworzyw sztucznych - ( kg )</t>
  </si>
  <si>
    <t>Formy typu wtryskowego lub tłocznego do gumy lub tworzyw sztucznych - ( szt. )</t>
  </si>
  <si>
    <t>Cysterny, beczki, bębny, z wyłączeniem przeznaczonych do przechowywania gazu, z żeliwa lub stali o pojemności  - ( szt. )</t>
  </si>
  <si>
    <t>Opakowania konserwowe lekkie z blachy ocynowanej białej do żywności o pojemności mniejszej niż 50 l - ( t )</t>
  </si>
  <si>
    <t>Puszki inne niż do konserwowania żywności i napojów, z żeliwa lub stali, o pojemności mniejszej niż 50 l - ( t )</t>
  </si>
  <si>
    <t>Wyroby z drutu, łańcuchy i sprężyny - ( t )</t>
  </si>
  <si>
    <t>Przewody gołe - ( t )</t>
  </si>
  <si>
    <t>Skrętki, kable, taśmy plecione i podobne, z miedzi, nieizolowane elektrycznie - ( t )</t>
  </si>
  <si>
    <t>Skrętki, kable, taśmy plecione i podobne, z aluminium, nieizolowane elektrycznie - ( t )</t>
  </si>
  <si>
    <t>Kraty, siatki, ogrodzenia i sita druciane - ( t )</t>
  </si>
  <si>
    <t>Gwoździe łącznie z pinezkami kreślarskimi - ( kg )</t>
  </si>
  <si>
    <t>Sprężyny (bez resorów ) - ( kg )</t>
  </si>
  <si>
    <t>Łańcuchy z ogniwami spawanymi (z wyłączeniem rozpórkowych ), z żeliwa lub stali - ( t )</t>
  </si>
  <si>
    <t>Elementy złączne z żeliwa lub stali gwintowane, gdzie indziej niesklasyfikowane - ( t )</t>
  </si>
  <si>
    <t>Elementy złączne z żeliwa lub stali, niegwintowane, gdzie indziej niesklasyfikowane - ( kg )</t>
  </si>
  <si>
    <t>Elementy złączne, śruby i wkręty miedziane, niegwintowane i gwintowane - ( kg )</t>
  </si>
  <si>
    <t>Zlewy i umywalki, ze stali nierdzewnej - ( szt. )</t>
  </si>
  <si>
    <t>Wanny blaszane emaliowane - ( szt. )</t>
  </si>
  <si>
    <t>Wyroby sanitarne i części wyrobów sanitarnych, z żeliwa lub stali - ( t )</t>
  </si>
  <si>
    <t>Wyroby stołowe, kuchenne lub do użytku w gospodarstwie domowym, ze stali, emaliowane - ( kg )</t>
  </si>
  <si>
    <t>Naczynia i wiadra ocynkowane z blachy stalowej, włączając lakierowane lub malowane - ( kg )</t>
  </si>
  <si>
    <t>Koła i obręcze, kute lub tłoczone ze stali - ( t )</t>
  </si>
  <si>
    <t>Tyrystory, diaki i triaki, z wyłączeniem światłoczułych - ( szt. )</t>
  </si>
  <si>
    <t>Tyrystory, diaki i triaki, z wyłączeniem światłoczułych - ( tys. szt. )</t>
  </si>
  <si>
    <t>Obwody scalone i mikromoduły elektroniczne - ( tys. szt. )</t>
  </si>
  <si>
    <t>Maszyny cyfrowe do automatycznego przetwarzania danych - ( szt. )</t>
  </si>
  <si>
    <t>Aparaty telefoniczne (z wyłączeniem aparatów do sieci komórkowych ) - ( szt. )</t>
  </si>
  <si>
    <t>Anteny zewnętrzne i wewnętrzne (z wyjątkiem satelitarnych ) - ( szt. )</t>
  </si>
  <si>
    <t>Urządzenia alarmowe przeciwwłamaniowe i przeciwpożarowe - ( tys. szt. )</t>
  </si>
  <si>
    <t>Odbiorniki radiowe łącznie z zestawami - ( szt. )</t>
  </si>
  <si>
    <t>Odbiorniki telewizyjne w tym monitory ekranowe z wyjątkiem stosowanych do komputerów - ( szt. )</t>
  </si>
  <si>
    <t>Odbiorniki telewizyjne z ekranem płaskim, w tym monitory ekranowe - ( szt. )</t>
  </si>
  <si>
    <t>Głośniki pojedyncze i zestawy głośnikowe - ( szt. )</t>
  </si>
  <si>
    <t>Gazomierze - ( szt. )</t>
  </si>
  <si>
    <t>Wodomierze - ( szt. )</t>
  </si>
  <si>
    <t>Liczniki energii elektrycznej - ( szt. )</t>
  </si>
  <si>
    <t>Zegary z mechanizmami zegarkowymi - ( szt. )</t>
  </si>
  <si>
    <t>Datowniki czasu, zegary rejestrujące - ( szt. )</t>
  </si>
  <si>
    <t>Silniki elektryczne i prądnice (z wyłączeniem silników trakcyjnych ) - ( MW )</t>
  </si>
  <si>
    <t>Silniki elektryczne i prądnice (z wyłączeniem silników trakcyjnych ) - ( szt. )</t>
  </si>
  <si>
    <t>Silniki i prądnice prąu stałego - ( MW )</t>
  </si>
  <si>
    <t>Silniki i prądnice prąu stałego - ( szt. )</t>
  </si>
  <si>
    <t>Silniki prądu przemiennego (z wyłączeniem silników trakcyjnych ) - ( MW )</t>
  </si>
  <si>
    <t>Silniki prądu przemiennego (z wyłączeniem silników trakcyjnych ) - ( szt. )</t>
  </si>
  <si>
    <t>Silniki jednofazowe - ( kW )</t>
  </si>
  <si>
    <t>Silniki jednofazowe - ( szt. )</t>
  </si>
  <si>
    <t>Silniki prądu przemiennego wielofazowe (z wyłączeniem silników trakcyjnych ) - ( MW )</t>
  </si>
  <si>
    <t>Silniki prądu przemiennego wielofazowe (z wyłączeniem silników trakcyjnych ) - ( szt. )</t>
  </si>
  <si>
    <t>Prądnice prądu przemiennego - ( szt. )</t>
  </si>
  <si>
    <t>Zespoły prądotwórcze z silnikami tłokowymi wewnętrznego spalania - ( szt. )</t>
  </si>
  <si>
    <t>Transformatory z ciekłym dielektrykiem - ( MVA )</t>
  </si>
  <si>
    <t>Transformatory z ciekłym dielektrykiem - ( szt. )</t>
  </si>
  <si>
    <t>Transformatory - ( MVA )</t>
  </si>
  <si>
    <t>Transformatory - ( szt. )</t>
  </si>
  <si>
    <t>Transformatory z chłodzeniem powietrznym (suche ) - ( MVA )</t>
  </si>
  <si>
    <t>Transformatory z chłodzeniem powietrznym (suche ) - ( szt. )</t>
  </si>
  <si>
    <t>Urządzenia sterujące z programowalną pamięcią, do napięć nieprzekraczających 1 kV - ( szt. )</t>
  </si>
  <si>
    <t>Ogniwa i baterie galwaniczne - ( tys. szt. )</t>
  </si>
  <si>
    <t>Akumulatory kwasowo-ołowiowe - ( szt. )</t>
  </si>
  <si>
    <t>Akumulatory kwasowo-ołowiowe - ( t )</t>
  </si>
  <si>
    <t>Akumulatory kwasowo-ołowiowe do uruchamiania silników tłokowych samochodowych - ( szt. )</t>
  </si>
  <si>
    <t>Kable światłowodowe - ( km )</t>
  </si>
  <si>
    <t>Kable światłowodowe - ( t )</t>
  </si>
  <si>
    <t>Druty i przewody izolowane - ( t )</t>
  </si>
  <si>
    <t>Kable koncentryczne - ( km )</t>
  </si>
  <si>
    <t>Kable koncentryczne - ( t )</t>
  </si>
  <si>
    <t>Przewody elektryczne stosowane w telekomunikacji - ( km )</t>
  </si>
  <si>
    <t>Przewody elektryczne stosowane w telekomunikacji - ( t )</t>
  </si>
  <si>
    <t>Kable elektroenergetyczne - ( km )</t>
  </si>
  <si>
    <t>Kable elektroenergetyczne - ( t )</t>
  </si>
  <si>
    <t>Żarówki żarowe do ogólnych celów oświetleniowych - ( tys. szt. )</t>
  </si>
  <si>
    <t>Zamrażarki - ( szt. )</t>
  </si>
  <si>
    <t>Chłodziarki i zamrażarki (łącznie z chłodziarko-zamrażarkami ) typu domowego - ( szt. )</t>
  </si>
  <si>
    <t>Zmywarki do naczyń typu domowego - ( szt. )</t>
  </si>
  <si>
    <t>Pralki włączając pralko-suszarki typu domowego - ( szt. )</t>
  </si>
  <si>
    <t>Pralki automatyczne (włączając pralko-suszarki ) typu domowego - ( szt. )</t>
  </si>
  <si>
    <t>Odkurzacze typu domowego - ( szt. )</t>
  </si>
  <si>
    <t>Miksery, malaksery, roboty kuchenne - ( szt. )</t>
  </si>
  <si>
    <t>Czajniki elektryczne - ( szt. )</t>
  </si>
  <si>
    <t>Ogrzewacze wody elektryczne o działaniu natychmiastowym (ogrzewacze przepływowe ) - ( szt. )</t>
  </si>
  <si>
    <t>Elektryczne grzejniki akumulacyjne - ( szt. )</t>
  </si>
  <si>
    <t>Elektryczne kuchenki domowe, włączając kuchenki gazowo - elektryczne - ( szt. )</t>
  </si>
  <si>
    <t>Elektryczne płyty domowe do wbudowania - ( szt. )</t>
  </si>
  <si>
    <t>Elektryczne domowe piekarniki do wbudowania - ( szt. )</t>
  </si>
  <si>
    <t>Kuchnie i podgrzewacze płytowe na gaz i paliwo stałe z żeliwa lub stali - ( szt. )</t>
  </si>
  <si>
    <t>Kuchnie gazowe z piekarnikiem - ( szt. )</t>
  </si>
  <si>
    <t>Piece grzewcze - ( szt. )</t>
  </si>
  <si>
    <t>Kondensatory stałe - ( szt. )</t>
  </si>
  <si>
    <t>Rezystory stałe - ( szt. )</t>
  </si>
  <si>
    <t>Silniki spalinowe wewnętrznego spalania, tłokowe z zapłonem samoczynnym - ( kW )</t>
  </si>
  <si>
    <t>Silniki spalinowe wewnętrznego spalania, tłokowe z zapłonem samoczynnym - ( szt. )</t>
  </si>
  <si>
    <t>Silniki z zapłonem samoczynnym do użytku przemysłowego - ( kW )</t>
  </si>
  <si>
    <t>Silniki z zapłonem samoczynnym do użytku przemysłowego - ( szt. )</t>
  </si>
  <si>
    <t>Silniki okrętowe - ( kW )</t>
  </si>
  <si>
    <t>Silniki okrętowe - ( szt. )</t>
  </si>
  <si>
    <t>Pompy ręczne inne niż wyposażone w urządzenia pomiarowe - ( szt. )</t>
  </si>
  <si>
    <t>Pompy obrotowe wyporowe do cieczy - ( szt. )</t>
  </si>
  <si>
    <t>Hydrofory - ( szt. )</t>
  </si>
  <si>
    <t>Pompy próżniowe - ( szt. )</t>
  </si>
  <si>
    <t>Sprężarki tłokowe - ( szt. )</t>
  </si>
  <si>
    <t>Sprężarki tłokowe - ( t )</t>
  </si>
  <si>
    <t>Sprężarki wyporowe-rotacyjne - ( szt. )</t>
  </si>
  <si>
    <t>Sprężarki wyporowe-rotacyjne - ( t )</t>
  </si>
  <si>
    <t>Baterie umywalkowe mosiężne - ( szt. )</t>
  </si>
  <si>
    <t>Baterie zlewozmywakowe mosiężne - ( szt. )</t>
  </si>
  <si>
    <t>Baterie wannowe mosiężne - ( szt. )</t>
  </si>
  <si>
    <t>Baterie natryskowe mosiężne - ( szt. )</t>
  </si>
  <si>
    <t>Armatura do zlewozmywaków, umywalek, bidetów, spłuczek ustępowych, wanien, z wyłączeniem baterii - ( t )</t>
  </si>
  <si>
    <t>Zawory do automatyki chłodniczej i grzewczej - ( kg )</t>
  </si>
  <si>
    <t>Łożyska kulkowe - ( tys. szt. )</t>
  </si>
  <si>
    <t>Łożyska toczne - ( tys. szt. )</t>
  </si>
  <si>
    <t>Łożyska stożkowe, włączając bez pierścienia wewnętrznego lub zewnętrznego - ( tys. szt. )</t>
  </si>
  <si>
    <t>Piece, maszyny i urządzenia do procesów chemicznych - ( t )</t>
  </si>
  <si>
    <t>Elektryczne piece piekarnicze i do biszkoptów - ( kg )</t>
  </si>
  <si>
    <t>Elektryczne piece piekarnicze i do biszkoptów - ( szt. )</t>
  </si>
  <si>
    <t>Wielokrążki i wciągniki, napędzane silnikiem elektrycznym, z wyłączeniem do podnoszenia pojazdów - ( szt. )</t>
  </si>
  <si>
    <t>Suwnice na podporach stałych - ( szt. )</t>
  </si>
  <si>
    <t>Suwnice na podporach stałych - ( t )</t>
  </si>
  <si>
    <t>Dźwigi (m.in. osobowe, towarowe ) - ( szt. )</t>
  </si>
  <si>
    <t>Kasy rejestrujące - ( szt. )</t>
  </si>
  <si>
    <t>Wymienniki ciepła dla przemysłu chemicznego - ( szt. )</t>
  </si>
  <si>
    <t>Wymienniki ciepła dla przemysłu chemicznego - ( t )</t>
  </si>
  <si>
    <t>Klimatyzatory zawierające agregat chłodniczy, z wyłączeniem samochodowych, ściennych i okiennych - ( szt. )</t>
  </si>
  <si>
    <t>Witryny i lady chłodnicze oraz urządzenia chłodnicze - ( szt. )</t>
  </si>
  <si>
    <t>Witryny i lady chłodnicze oraz urządzenia chłodnicze - ( t )</t>
  </si>
  <si>
    <t>Witryny i lady chłodnicze z wbudowanym agregatem chłodniczym lub parownikiem, do przechowywania zamrożonej żywności - ( szt. )</t>
  </si>
  <si>
    <t>Wyposażenie chłodnicze pozostałe (np. dla środków transportu, kontenerów ) - ( szt. )</t>
  </si>
  <si>
    <t>Ciągniki rolnicze, z wyłączeniem kierowanych przez pieszego - ( szt. )</t>
  </si>
  <si>
    <t>Ciagniki rolnicze o mocy silnika nieprzekraczającej 59 kW - ( szt. )</t>
  </si>
  <si>
    <t>Ciągniki rolnicze o mocy silnika powyżej 59 kW - ( szt. )</t>
  </si>
  <si>
    <t>Pługi - ( szt. )</t>
  </si>
  <si>
    <t>Spulchniarki i kultywatory - ( szt. )</t>
  </si>
  <si>
    <t>Kultywatory - ( szt. )</t>
  </si>
  <si>
    <t>Brony talerzowe - ( szt. )</t>
  </si>
  <si>
    <t>Brony z wyłączeniem bron talerzowych - ( szt. )</t>
  </si>
  <si>
    <t>Glebogryzarki - ( szt. )</t>
  </si>
  <si>
    <t>Siewniki polowe - ( szt. )</t>
  </si>
  <si>
    <t>Sadzarki do ziemniaków - ( szt. )</t>
  </si>
  <si>
    <t>Rozsiewacze nawozów mineralnych lub chemicznych - ( szt. )</t>
  </si>
  <si>
    <t>Kosiarki ciągnikowe zawieszane - ( szt. )</t>
  </si>
  <si>
    <t>Kopaczki do ziemniaków - ( szt. )</t>
  </si>
  <si>
    <t>Kombajny zbożowe (żniwno-omłotowe ) - ( szt. )</t>
  </si>
  <si>
    <t>Opryskiwacze i opylacze ciągnikowe - ( szt. )</t>
  </si>
  <si>
    <t>Opryskiwacze polowe ciągnikowe - ( szt. )</t>
  </si>
  <si>
    <t>Opryskiwacze leśne i sadownicze, ciągnikowe przyczepiane - ( szt. )</t>
  </si>
  <si>
    <t>Przyczepy samozaładowcze lub samowyładowawcze oraz naczepy dla celów rolniczych - ( szt. )</t>
  </si>
  <si>
    <t>Parniki węglowe - ( szt. )</t>
  </si>
  <si>
    <t>Sieczkarnie do cięcia zielonek i słomy - ( szt. )</t>
  </si>
  <si>
    <t>Obrabiarki ze sterowaniem numerycznym - ( szt. )</t>
  </si>
  <si>
    <t>Tokarki do usuwania metalu - ( szt. )</t>
  </si>
  <si>
    <t>Obrabiarki do wiercenia, wytaczania lub frezowania metalu - ( szt. )</t>
  </si>
  <si>
    <t>Frezarki wspornikowe do metalu sterowane numerycznie, z wyłączeniem wiertarko-frezarek - ( kg )</t>
  </si>
  <si>
    <t>Frezarki wspornikowe do metalu sterowane numerycznie, z wyłączeniem wiertarko-frezarek - ( szt. )</t>
  </si>
  <si>
    <t>Frezarki - ( kg )</t>
  </si>
  <si>
    <t>Frezarki - ( szt. )</t>
  </si>
  <si>
    <t>Szlifierki do metali - ( szt. )</t>
  </si>
  <si>
    <t>Obrabiarki do wygładzania ostrych krawędzi, ostrzenia, szlifowania lub do innego rodzaju operacji wykończeniowych - ( szt. )</t>
  </si>
  <si>
    <t>Maszyny do obróbki plastycznej - ( szt. )</t>
  </si>
  <si>
    <t>Wlewnice - ( t )</t>
  </si>
  <si>
    <t>Wyciągi i przenośniki zaprojektowane do pracy pod powierzchnią ziemi - ( t )</t>
  </si>
  <si>
    <t>Maszyny do wierceń lub głębienia szybów - ( szt. )</t>
  </si>
  <si>
    <t>Maszyny i urządzenia do robót budowlanych, drogowych i melioracyjnych - ( t )</t>
  </si>
  <si>
    <t>Maszyny do sortowania, przesiewania, płukania, zgniatania, mieszania ziemi, kamieni, rud i substancji mineralnych - ( szt. )</t>
  </si>
  <si>
    <t>Maszyny do sortowania, przesiewania, płukania, zgniatania, mieszania ziemi, kamieni, rud i substancji mineralnych - ( t )</t>
  </si>
  <si>
    <t>Maszyny do sortowania, klasyfikowania, rozdzielania, mielenia lub mieszania, stosowane w górnictwie - ( t )</t>
  </si>
  <si>
    <t>Betoniarki z wyłączeniem drogowych - ( szt. )</t>
  </si>
  <si>
    <t>Suszarnie do produktów rolniczych - ( szt. )</t>
  </si>
  <si>
    <t>Urządzenia do produkcji cukru - ( szt. )</t>
  </si>
  <si>
    <t>Urządzenia przemysłowe browarnicze - ( kg )</t>
  </si>
  <si>
    <t>Urządzenia do przyrządzania mięsa, z wyjątkiem drobiowego - ( t )</t>
  </si>
  <si>
    <t>Urządzenia czyszczące i sortujące do nasion, ziarna lub suszonych warzyw strączkowych - ( szt. )</t>
  </si>
  <si>
    <t>Maszyny do produkcji papieru i tektury, z wyłączeniem ich części - ( t )</t>
  </si>
  <si>
    <t>Silniki spalinowe używane do pojazdów mechanicznych - ( szt. )</t>
  </si>
  <si>
    <t>Samochody osobowe - ( szt. )</t>
  </si>
  <si>
    <t>Samochody osobowe z silnikiem o pojemności skokowej 1000 cm3 i mniej - ( szt. )</t>
  </si>
  <si>
    <t>Samochody osobowe z silnikiem o pojemności skokowej 1001 - 1500 cm3 - ( szt. )</t>
  </si>
  <si>
    <t>Samochody osobowe z silnikiem o pojemności skokowej powyżej 1500 cm3 - ( szt. )</t>
  </si>
  <si>
    <t>Pojazdy samochodowe do przewozu dzisięciu lub wiecej osób - ( szt. )</t>
  </si>
  <si>
    <t>Samochody ciężarowe - ( szt. )</t>
  </si>
  <si>
    <t>Ciągniki drogowe do ciągnięcia naczep - ( szt. )</t>
  </si>
  <si>
    <t>Pojazdy samochodowe specjalnego przeznaczenia - ( szt. )</t>
  </si>
  <si>
    <t>Kontenery specjalne przystosowane do przewozu różnymi środkami transportu - ( szt. )</t>
  </si>
  <si>
    <t>Naczepy i przyczepy samochodowe transportowe - ( szt. )</t>
  </si>
  <si>
    <t>Statki morskie - ( GT )</t>
  </si>
  <si>
    <t>Statki morskie - ( szt. )</t>
  </si>
  <si>
    <t>Łodzie wypoczynkowe i sportowe (żaglowe i motorowe ) - ( szt. )</t>
  </si>
  <si>
    <t>Wagony kolejowe towarowe - ( szt. )</t>
  </si>
  <si>
    <t>Silniki spalinowe tłokowe wewnętrznego spalania o zapłonie iskrowym, lotnicze - ( kW )</t>
  </si>
  <si>
    <t>Silniki spalinowe tłokowe wewnętrznego spalania o zapłonie iskrowym, lotnicze - ( szt. )</t>
  </si>
  <si>
    <t>Samoloty stosowane w lotnictwie cywilnym i parapublicznym, sportowe i szkolne - ( szt. )</t>
  </si>
  <si>
    <t>Rowery - ( szt. )</t>
  </si>
  <si>
    <t>Rowery górskie - ( szt. )</t>
  </si>
  <si>
    <t>Meble do siedzenia przekształcalne w miejsca do spania, z wyłączeniem mebli ogrodowych i kempingowych - ( tys. szt. )</t>
  </si>
  <si>
    <t>Meble do siedzenia, tapicerowane, mieszkaniowe - ( tys. szt. )</t>
  </si>
  <si>
    <t>Meble drewniane, w rodzaju stosowanych w kuchni, do wbudowania - ( tys. szt. )</t>
  </si>
  <si>
    <t>Meble drewniane, w rodzaju stosowanych w kuchni, pozostałe - ( tys. szt. )</t>
  </si>
  <si>
    <t>Meble drewniane, w rodzaju stosowanych w sypialni - ( tys. szt. )</t>
  </si>
  <si>
    <t>Meble drewniane, w rodzaju stosowanych w pokojach stołowych i salonach - ( tys. szt. )</t>
  </si>
  <si>
    <t>Sterylizatory medyczne, chirurgiczne lub laboratoryjne - ( szt. )</t>
  </si>
  <si>
    <t>Energia elektryczna - ( GWh )</t>
  </si>
  <si>
    <t>Energia elektryczna z elektrowni cieplnych - ( GWh )</t>
  </si>
  <si>
    <t>Energia elektryczna z elektrowni wodnych - ( GWh )</t>
  </si>
  <si>
    <t>Energia elektryczna z pozostałych elektrowni - ( GWh )</t>
  </si>
  <si>
    <t>Ciepło w parze lub goracej wodzie - ( TJ )</t>
  </si>
  <si>
    <t>Jednostka prod. wytworzona</t>
  </si>
  <si>
    <t>Jednostka prod. sprzedana</t>
  </si>
  <si>
    <t>Tkaniny lniane, zawierające co najmniej 85% masy lnu - ( tys. m² )</t>
  </si>
  <si>
    <t>Rok poprzedni = 100</t>
  </si>
  <si>
    <t>2016</t>
  </si>
  <si>
    <t>Datowniki czasu, zegary kontrolne</t>
  </si>
  <si>
    <t>Pojazdy samochodowe do przewozu dziesięciu lub więcej osób</t>
  </si>
  <si>
    <t>Przędza z syntetycznych włókien odcinkowych mieszana z wełną, niepakowana do sprzedaży detalicznej</t>
  </si>
  <si>
    <t>Skóry miękkie bydlęce z licem na obuwie</t>
  </si>
  <si>
    <t>Papier i karton stosowany do celów graficznych, zawierający mniej niż 10% masy włókien otrzymywanych w procesje mechanicznym, bezdrzewny</t>
  </si>
  <si>
    <t>Kartony, pudła i pudełka z papieru i tektury</t>
  </si>
  <si>
    <t>Farby i pokosty, na bazie polimerów syntetycznych lub polimerów naturalnych modyfikowanych chemicznie, w środowisku niewodnym</t>
  </si>
  <si>
    <t>Silniki i prądnice prądu stałego</t>
  </si>
  <si>
    <t>Ciągniki rolnicze o mocy silnika nieprzekraczającej 59 kW</t>
  </si>
  <si>
    <t>Przyczepy samozaładowcze lub samowyładowcze oraz naczepy dla celów rolniczych</t>
  </si>
  <si>
    <t>Wagony towarowe kolejowe lub tramwajowe, bez własnego napędu</t>
  </si>
  <si>
    <t>Ciepło w parze lub gorącej wodzie</t>
  </si>
  <si>
    <t>rok 2016</t>
  </si>
  <si>
    <t>długość</t>
  </si>
  <si>
    <t xml:space="preserve">Stosowane symbole umowne: </t>
  </si>
  <si>
    <t xml:space="preserve">znak  #  </t>
  </si>
  <si>
    <t xml:space="preserve">znak  x </t>
  </si>
  <si>
    <t>brak produkcji (zjawisko nie wystąpiło)</t>
  </si>
  <si>
    <t>wypełnienie pozycji jest niemożliwe lub niecelowe</t>
  </si>
  <si>
    <t>Symbol</t>
  </si>
  <si>
    <t>Symbol działu / grupy / klasy
 wg PKWiU</t>
  </si>
  <si>
    <t>W celu wyświetlenia danych dla wartości produkcji sprzedanej, wybierz poniżej dział przemysłu oraz rok produkcji</t>
  </si>
  <si>
    <t>Wybierz dział</t>
  </si>
  <si>
    <t>Wybierz wyrób</t>
  </si>
  <si>
    <t>Liczba pozycji</t>
  </si>
  <si>
    <t>Rok</t>
  </si>
  <si>
    <t>produkcji</t>
  </si>
  <si>
    <t>WYKRES</t>
  </si>
  <si>
    <t>TABELA</t>
  </si>
  <si>
    <t>Razem</t>
  </si>
  <si>
    <t>Minimalna
produkcja</t>
  </si>
  <si>
    <t>Maksymalna
produkcja</t>
  </si>
  <si>
    <t>Produkcja wytworzona
Wyrób i jednostka miary</t>
  </si>
  <si>
    <t>Produkcja sprzedana
Wyrób z PKWiU</t>
  </si>
  <si>
    <t>Tajemnica</t>
  </si>
  <si>
    <t>Brak danych</t>
  </si>
  <si>
    <t>tys. zł</t>
  </si>
  <si>
    <t>tysiąc złotych</t>
  </si>
  <si>
    <t xml:space="preserve">kilogram  </t>
  </si>
  <si>
    <t>g</t>
  </si>
  <si>
    <t>gram</t>
  </si>
  <si>
    <t xml:space="preserve">t </t>
  </si>
  <si>
    <t xml:space="preserve">tona </t>
  </si>
  <si>
    <t>ct</t>
  </si>
  <si>
    <t>karat  metryczny</t>
  </si>
  <si>
    <t>m</t>
  </si>
  <si>
    <t xml:space="preserve">metr </t>
  </si>
  <si>
    <t xml:space="preserve">kilometr </t>
  </si>
  <si>
    <t>metr kwadratowy</t>
  </si>
  <si>
    <t>tysiąc metrów kwadratowych</t>
  </si>
  <si>
    <t>metr sześcienny</t>
  </si>
  <si>
    <t xml:space="preserve">hektolitr </t>
  </si>
  <si>
    <t xml:space="preserve">dekametr sześcienny </t>
  </si>
  <si>
    <t xml:space="preserve">l </t>
  </si>
  <si>
    <t>litr</t>
  </si>
  <si>
    <t xml:space="preserve">gigadżul </t>
  </si>
  <si>
    <t>kilowat</t>
  </si>
  <si>
    <t xml:space="preserve">megawat </t>
  </si>
  <si>
    <t>kVA</t>
  </si>
  <si>
    <t>kilowoltoamper</t>
  </si>
  <si>
    <t xml:space="preserve">megawoltoamper  </t>
  </si>
  <si>
    <t>sztuka</t>
  </si>
  <si>
    <t xml:space="preserve">tys. szt. </t>
  </si>
  <si>
    <t>tysiąc sztuk</t>
  </si>
  <si>
    <t>milion sztuk</t>
  </si>
  <si>
    <t>para</t>
  </si>
  <si>
    <t>tysiąc par</t>
  </si>
  <si>
    <t>tona (megagram) przeliczeniowej zawartości ołowiu w rudach i koncentratach rud ołowianych i cynkowo-ołowiowych</t>
  </si>
  <si>
    <t>t Al</t>
  </si>
  <si>
    <t>tona (megagram) przeliczeniowej zawartości aluminium w kablach i przewodach</t>
  </si>
  <si>
    <t>tona (megagram) przeliczeniowej zawartości pięciotlenku fosforu (bezwodnik fosforowy)  w nawozach fosforowych i wieloskładnikowych</t>
  </si>
  <si>
    <t>tona (megagram) przeliczeniowej zawartości tlenku potasu w nawozach potasowych i wieloskładnikowych</t>
  </si>
  <si>
    <t xml:space="preserve">kg Cl </t>
  </si>
  <si>
    <t>kilogram chloru</t>
  </si>
  <si>
    <t>tona chloru</t>
  </si>
  <si>
    <t>tona chlorowodoru</t>
  </si>
  <si>
    <t>kilogram srebra</t>
  </si>
  <si>
    <t>kilogram trójtlenku boru</t>
  </si>
  <si>
    <t>kg HF</t>
  </si>
  <si>
    <t>kilogram fluorowodoru</t>
  </si>
  <si>
    <t>kilogram nadtlenku wodoru</t>
  </si>
  <si>
    <t>kilogram dwutlenku krzemu</t>
  </si>
  <si>
    <t>tona trójtlenku glinu</t>
  </si>
  <si>
    <t>t CaO</t>
  </si>
  <si>
    <t>tona tlenku wapnia</t>
  </si>
  <si>
    <t>tona kwasu octowego</t>
  </si>
  <si>
    <t>tona metanolu</t>
  </si>
  <si>
    <t>tona butanolu</t>
  </si>
  <si>
    <t>tona fenolu</t>
  </si>
  <si>
    <t>tona miedzi</t>
  </si>
  <si>
    <t xml:space="preserve">tona siarczanu miedzi </t>
  </si>
  <si>
    <t>t F</t>
  </si>
  <si>
    <t>tona fluoru</t>
  </si>
  <si>
    <t>tona wodorotlenku sodu (soda kaustyczna)</t>
  </si>
  <si>
    <t>tona kwasu azotowego</t>
  </si>
  <si>
    <t>tona kwasu siarkowego</t>
  </si>
  <si>
    <t>tona azotu</t>
  </si>
  <si>
    <t>t KOH</t>
  </si>
  <si>
    <t>tona wodorotlenku potasu (potaż żrący)</t>
  </si>
  <si>
    <t>tona chlorku sodu</t>
  </si>
  <si>
    <t>tona amoniaku</t>
  </si>
  <si>
    <t>tona węglanu sodu</t>
  </si>
  <si>
    <t xml:space="preserve">tona pirosiarczyn sodu </t>
  </si>
  <si>
    <t>tona siarki</t>
  </si>
  <si>
    <t>tona dwutlenku siarki</t>
  </si>
  <si>
    <t>tona dwutlenku tytanu</t>
  </si>
  <si>
    <t>t Zn</t>
  </si>
  <si>
    <t>tona cynku</t>
  </si>
  <si>
    <t>t 42%</t>
  </si>
  <si>
    <t>tona przeliczeniowej masy produktu o 42% zawartości fruktozy</t>
  </si>
  <si>
    <t>t 60%</t>
  </si>
  <si>
    <t>tona przeliczeniowej masy produktu o 60% zawartości mydła i/lub środków powierzchniowo czynnych</t>
  </si>
  <si>
    <t>tona przeliczeniowej masy produktu o 75% zawartości węgliku wapnia</t>
  </si>
  <si>
    <t>tona przeliczeniowej masy produktu o 25% zawartości azotu</t>
  </si>
  <si>
    <t>t 46% N</t>
  </si>
  <si>
    <t>tona przeliczeniowej masy produktu o 46% zawartości azotu</t>
  </si>
  <si>
    <t>tona przeliczeniowej masy produktu o 96% zawartości wodorotlenku sodu</t>
  </si>
  <si>
    <t>t 90% sdt</t>
  </si>
  <si>
    <t>tona substancji wysuszonej w 90% (tona przeliczeniowej masy produktu o 90% zawartości suchej masy)</t>
  </si>
  <si>
    <t>tona  paliwa umownego</t>
  </si>
  <si>
    <t>kg akt. s.</t>
  </si>
  <si>
    <t>kilogram aktywnego składnika (substancji aktywowanej)</t>
  </si>
  <si>
    <t>tona (megagram) czystego składnika</t>
  </si>
  <si>
    <t>hektolitr przeliczeniowej objętości produktu o 6 procentowej zawartości czystego składnika*</t>
  </si>
  <si>
    <t>hl 10%</t>
  </si>
  <si>
    <t>hektolitr przeliczeniowej objętości produktu o 10 procentowej zawartości czystego składnika*</t>
  </si>
  <si>
    <t>CGT</t>
  </si>
  <si>
    <t>skompensowana pojemność rejestrowa statku</t>
  </si>
  <si>
    <t>pojemność brutto statku</t>
  </si>
  <si>
    <t>ce/el</t>
  </si>
  <si>
    <t>liczba ogniw</t>
  </si>
  <si>
    <t>tysiąc cegieł przeliczeniowych materiałów ściennych</t>
  </si>
  <si>
    <t xml:space="preserve">t 100% </t>
  </si>
  <si>
    <t>tona (megagram) przeliczeniowej masy produktu o „100%” procentowej zawartości czystego składnika</t>
  </si>
  <si>
    <t>m2</t>
  </si>
  <si>
    <t xml:space="preserve">tys. m2 </t>
  </si>
  <si>
    <t xml:space="preserve">m3 </t>
  </si>
  <si>
    <t>t P2O5</t>
  </si>
  <si>
    <t>t K2O</t>
  </si>
  <si>
    <t>kg H2O2</t>
  </si>
  <si>
    <t>kg SiO2</t>
  </si>
  <si>
    <t>t Al2O3</t>
  </si>
  <si>
    <t>t CH3COOH</t>
  </si>
  <si>
    <t>t CH3OH</t>
  </si>
  <si>
    <t>t C4H9OH</t>
  </si>
  <si>
    <t>t C6H5OH</t>
  </si>
  <si>
    <t>t CuSO4</t>
  </si>
  <si>
    <t>t HNO3</t>
  </si>
  <si>
    <t>t H2SO4</t>
  </si>
  <si>
    <t>t NH3</t>
  </si>
  <si>
    <t>t Na2CO3</t>
  </si>
  <si>
    <t>t Na2S2O5</t>
  </si>
  <si>
    <t>t SO2</t>
  </si>
  <si>
    <t>t TiO2</t>
  </si>
  <si>
    <t>t 75% CaC2</t>
  </si>
  <si>
    <t>t P2O5 + t K2O + t N</t>
  </si>
  <si>
    <t>JM oznaczenie</t>
  </si>
  <si>
    <r>
      <t>kg B</t>
    </r>
    <r>
      <rPr>
        <vertAlign val="subscript"/>
        <sz val="8"/>
        <color theme="1"/>
        <rFont val="Calibri"/>
        <family val="2"/>
        <scheme val="minor"/>
      </rPr>
      <t>2</t>
    </r>
    <r>
      <rPr>
        <sz val="8"/>
        <color theme="1"/>
        <rFont val="Calibri"/>
        <family val="2"/>
        <scheme val="minor"/>
      </rPr>
      <t>O</t>
    </r>
    <r>
      <rPr>
        <vertAlign val="subscript"/>
        <sz val="8"/>
        <color theme="1"/>
        <rFont val="Calibri"/>
        <family val="2"/>
        <scheme val="minor"/>
      </rPr>
      <t>3</t>
    </r>
  </si>
  <si>
    <r>
      <t>dam</t>
    </r>
    <r>
      <rPr>
        <vertAlign val="superscript"/>
        <sz val="8"/>
        <color theme="1"/>
        <rFont val="Calibri"/>
        <family val="2"/>
        <scheme val="minor"/>
      </rPr>
      <t>3</t>
    </r>
  </si>
  <si>
    <t>Symbol działu</t>
  </si>
  <si>
    <t>hektolitr przeliczeniowej objętości produktu o 100 procentowej zawartości czystego składnika*</t>
  </si>
  <si>
    <t>Wartość produkcji sprzedanej wybranego działu</t>
  </si>
  <si>
    <t>Wartość produkcji sprzedanej dla działów</t>
  </si>
  <si>
    <t>Dane firmy</t>
  </si>
  <si>
    <t>Wpisz wartość sprzedaży swojej firmy w tys. złotych
 - uzyskasz porównanie na tle kraju</t>
  </si>
  <si>
    <t>UWAGI OGÓLNE</t>
  </si>
  <si>
    <t>Dynamika produkcji (rok poprzedni = 100)</t>
  </si>
  <si>
    <t>Zaznacz przycisk w celu wyświetlenia pierwszego wyrobu z działu</t>
  </si>
  <si>
    <t>Nomenklatura PRODPOL</t>
  </si>
  <si>
    <t>Standardowe klasyfikacje i nomenklatury</t>
  </si>
  <si>
    <t>WIĘCEJ INFORMACJI NA STRONACH GUS</t>
  </si>
  <si>
    <t>dane nie mogą być opublikowane ze względu na konieczność zachowania tajemnicy statystycznej zgodnie z ustawą o statystyce publicznej.</t>
  </si>
  <si>
    <t>OCHRONA PRYWATNOŚCI</t>
  </si>
  <si>
    <t>Państwa dane wprowadzane w arkuszu "Porównaj swoje dane" służą tylko porównaniu na wykresach do danych ogólnopolskich i nie są gromadzone, przetwarzane lub przechowywane przez GUS.</t>
  </si>
  <si>
    <t>W przypadku produkcji wyrobów bardzo ważna jest jednostka miary, w której prezentowane są dane. Istnieją jednostki miary wyglądające na pozór podobnie, ale zawierają inną informację np. kwas siarkowy może być prezentowany w tonach (t) lub w tonach kwasu siarkowego (t H2SO4).</t>
  </si>
  <si>
    <t>Lista PRODCOM</t>
  </si>
  <si>
    <t>Nazwa działu / grupy / klasy wg PKWiU 2015</t>
  </si>
  <si>
    <t>Wpisz ilość produkcji swojej firmy w wybranej jednostce miary
 - uzyskasz porównanie na tle kraju</t>
  </si>
  <si>
    <t>t palum</t>
  </si>
  <si>
    <t>Węgiel kamienny - ( t palum )</t>
  </si>
  <si>
    <t>Węgiel energetyczny - ( t palum )</t>
  </si>
  <si>
    <t>Węgiel brunatny - ( t palum )</t>
  </si>
  <si>
    <t>słownik JM</t>
  </si>
  <si>
    <t>Dane pozostałe</t>
  </si>
  <si>
    <t>SŁOWNIK JEDNOSTEK MIAR</t>
  </si>
  <si>
    <t>Dane dotyczące produkcji wyrobów przemysłowych są prezentowane według nomenklatury PRODPOL, która oparta jest na Polskiej Klasyfikacji Wyrobów i Usług (PKWiU) i powiązana jest z Nomenklaturą Scaloną CN stosowaną w handlu zagranicznym. Zatem aby określić zakres danego grupowania należy korzystać z objaśnień do PKWIU oraz z not wyjaśniających do CN. Dzięki powiązaniu nomenklatury PRODPOL z Listą PRODCOM (nomenklaturą do wspólnotowego badania produkcji przemysłowej EUROSTATU zawierającą wykaz produktów przemysłowych) można porównać dane o produkcji wybranych wyrobów w Polsce z danymi o produkcji wyrobów innych krajów europejskich.</t>
  </si>
  <si>
    <t>znak  –</t>
  </si>
  <si>
    <t>Nazwa wyrobu</t>
  </si>
  <si>
    <t>Nazwa jednostki miary</t>
  </si>
  <si>
    <t xml:space="preserve">Przekazujemy Państwu 
</t>
  </si>
  <si>
    <t>PRODUKCJA WYTWORZONA WYBRANYCH WYROBÓW PRZEMYSŁOWYCH
DANE OGÓLNOPOLSKIE</t>
  </si>
  <si>
    <t>WARTOŚĆ PRODUKCJI SPRZEDANEJ WYROBÓW PRZEMYSŁOWYCH WEDŁUG DZIAŁÓW, GRUP I KLAS PKWIU
  DANE OGÓLNOPOLSKIE (w tys. zł)</t>
  </si>
  <si>
    <t>rok 2017</t>
  </si>
  <si>
    <t>—</t>
  </si>
  <si>
    <t>2017</t>
  </si>
  <si>
    <t>rok 2018</t>
  </si>
  <si>
    <t>2018</t>
  </si>
  <si>
    <t>Skóry wyprawione i garbowane; torby bagażowe, torebki ręczne  i podobne wyroby kaletnicze; wyroby rymarskie; skóry futerkowe wyprawione i barwione - (PKWiU 15.1)</t>
  </si>
  <si>
    <t>Skóry wyprawione i garbowane; torby bagażowe, torebki ręczne  i podobne wyroby kaletnicze; wyroby rymarskie; skóry futerkowe wyprawione i barwione</t>
  </si>
  <si>
    <t>POJAZDY SAMOCHODOWE (Z WYŁĄCZENIEM MOTOCYKLI), PRZYCZEPY  I NACZEPY</t>
  </si>
  <si>
    <t>W celu wyświetlenia danych wybranego działu
dla wszystkich lat 2010 - 2018 zaznacz pole</t>
  </si>
  <si>
    <r>
      <rPr>
        <b/>
        <sz val="18"/>
        <color theme="0" tint="-0.4999699890613556"/>
        <rFont val="Fira Sans SemiBold"/>
        <family val="2"/>
      </rPr>
      <t>Interaktywny Raport o Produkcji Wyrobów</t>
    </r>
    <r>
      <rPr>
        <b/>
        <sz val="16"/>
        <color rgb="FF001D77"/>
        <rFont val="Fira Sans SemiBold"/>
        <family val="2"/>
      </rPr>
      <t xml:space="preserve">
</t>
    </r>
    <r>
      <rPr>
        <b/>
        <sz val="14"/>
        <color rgb="FF001D77"/>
        <rFont val="Fira Sans"/>
        <family val="2"/>
      </rPr>
      <t xml:space="preserve">Dane o produkcji wytworzonej i sprzedanej wybranych wyrobów przemysłowych.
Producenci wyrobów ujętych w Raporcie mogą również porównać produkcję własną z produkcją w kraju. </t>
    </r>
    <r>
      <rPr>
        <b/>
        <sz val="16"/>
        <color rgb="FF001D77"/>
        <rFont val="Fira Sans"/>
        <family val="2"/>
      </rPr>
      <t xml:space="preserve">
</t>
    </r>
    <r>
      <rPr>
        <b/>
        <sz val="11"/>
        <color rgb="FF001D77"/>
        <rFont val="Fira Sans"/>
        <family val="2"/>
      </rPr>
      <t>Opracowano na podstawie sprawozdania P-01 o produkcji wyrobów za lata 2010 - 2019.</t>
    </r>
  </si>
  <si>
    <t>Do wyświetlania wszystkich funkcji wymagana jest wersja Excel 2010 lub nowsza.
Wersja pliku kompatybilna z wersjami Excela 97 – 2003 nie zawiera formatowań służących do wyróżniania wartości oraz wizualizacji przebiegu danych w czasie. Pakiety biurowe innych producentów posiadają ograniczoną funkcjonalność w złożonych dokumentach Office i nie są w pełni kompatybilne.</t>
  </si>
  <si>
    <t>W celu wyświetlenia danych dla produkcji wytworzonej danego wyrobu w latach 2010 - 2019, wybierz dział a następnie wyrób.  Możesz również zmieniać rok produkcji dla wybranego działu.</t>
  </si>
  <si>
    <t xml:space="preserve">    Produkcja wytworzona w wybranej jednostce miary w latach 2010 - 2019</t>
  </si>
  <si>
    <t xml:space="preserve">   Wartość produkcji sprzedanej wybranego działu w tys. zł. w latach 2010 - 2019</t>
  </si>
  <si>
    <t>PORÓWNAJ PRODUKCJĘ WYTWORZONĄ WYBRANYCH WYROBÓW PRZEMYSŁOWYCH SWOJEJ FIRMY
 Z DANYMI OGÓLNOPOLSKIMI ZA 2019 R.</t>
  </si>
  <si>
    <t>PRODUKCJA WYTWORZONA WYBRANEGO WYROBU PRZEMYSŁOWEGO
DANE OGÓLNOPOLSKIE W LATACH 2010 - 2019</t>
  </si>
  <si>
    <t>PRODUKCJA WYTWORZONA WYBRANEGO WYROBU PRZEMYSŁOWEGO
DANE FIRMY NA TLE DANYCH OGÓLNOPOLSKICH W 2019 R.</t>
  </si>
  <si>
    <t>PRODUKCJA SPRZEDANA WYBRANEGO WYROBU PRZEMYSŁOWEGO
DANE OGÓLNOPOLSKIE W LATACH 2010 - 2019 (TYS. ZŁ.)</t>
  </si>
  <si>
    <t>PRODUKCJA SPRZEDANA WYBRANEGO WYROBU PRZEMYSŁOWEGO
DANE FIRMY NA TLE DANYCH OGÓLNOPOLSKICH W 2019 R. (TYS. ZŁ)</t>
  </si>
  <si>
    <t>Dane produkcji wytworzonej wybranego wyrobu dla Polski w 2019 roku</t>
  </si>
  <si>
    <t>Dane produkcji sprzedanej wybranego wyrobu dla Polski w 2019 roku
 w tys. złotych</t>
  </si>
  <si>
    <t>rok 2019</t>
  </si>
  <si>
    <t>Dane ogólnopolskie za 2019 r.</t>
  </si>
  <si>
    <t>Minimalna roczna produkcja
w latach 2010-2019</t>
  </si>
  <si>
    <t>Maksymalna roczna produkcja
w latach 2010 - 2019</t>
  </si>
  <si>
    <t>Średnia produkcja
w latach 2010 - 2019</t>
  </si>
  <si>
    <t>Dynamika 2019
2010 = 100</t>
  </si>
  <si>
    <t>Dynamika produkcji w 2019
2010 = 100</t>
  </si>
  <si>
    <t>Dynamika 2019
 2010 = 100</t>
  </si>
  <si>
    <r>
      <t xml:space="preserve">Przebieg produkcji wytworzonej
</t>
    </r>
    <r>
      <rPr>
        <sz val="7"/>
        <rFont val="Fira Sans SemiBold"/>
        <family val="2"/>
      </rPr>
      <t>2010 2011 2012 2013 2014 2015 2016 2017 2018 2019</t>
    </r>
  </si>
  <si>
    <t>W celu wyświetlenia danych wybranego działu
dla wszystkich lat 2010 - 2019 zaznacz pole</t>
  </si>
  <si>
    <t>2019</t>
  </si>
  <si>
    <t>Dynamika 2019
 2010=100</t>
  </si>
  <si>
    <r>
      <t xml:space="preserve">Przebieg produkcji sprzedanej 
</t>
    </r>
    <r>
      <rPr>
        <sz val="7"/>
        <rFont val="Fira Sans SemiBold"/>
        <family val="2"/>
      </rPr>
      <t>2010 2011 2012 2013 2014 2015 2016 2017 2018 2019</t>
    </r>
  </si>
  <si>
    <t>x</t>
  </si>
  <si>
    <t>Ośrodek Statystyki Produktów Przemysłowych Urzędu Statystycznego we Wrocławiu
we współpracy z Departamentem Przedsiębiorstw Głównego Urzędu Statystycznego</t>
  </si>
  <si>
    <t>Data ostatniej aktualizacji: 21.12.2020 r.</t>
  </si>
  <si>
    <t>PORÓWNAJ PRODUKCJĘ SPRZEDANĄ WYBRANYCH WYROBÓW PRZEMYSŁOWYCH SWOJEJ FIRMY
 Z DANYMI OGÓLNOPOLSKIMI ZA 2019 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</si>
</sst>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quot;$&quot;#,##0_);\(&quot;$&quot;#,##0\)"/>
    <numFmt numFmtId="165" formatCode="0.0%"/>
    <numFmt numFmtId="166" formatCode="[$-10415]#,##0.0;\(#,##0.0\)"/>
    <numFmt numFmtId="167" formatCode="[$-10415]#,##0;\(#,##0\)"/>
    <numFmt numFmtId="168" formatCode="_-* #,##0\ _z_ł_-;\-* #,##0\ _z_ł_-;_-* &quot;-&quot;??\ _z_ł_-;_-@_-"/>
    <numFmt numFmtId="169" formatCode="_-* #,##0.0\ _z_ł_-;\-* #,##0.0\ _z_ł_-;_-* &quot;-&quot;??\ _z_ł_-;_-@_-"/>
    <numFmt numFmtId="170" formatCode="[$-10415]#,##0.00;\(#,##0.00\)"/>
    <numFmt numFmtId="171" formatCode="0.000"/>
  </numFmts>
  <fonts count="110">
    <font>
      <sz val="11"/>
      <color theme="1"/>
      <name val="Calibri"/>
      <family val="2"/>
      <scheme val="minor"/>
    </font>
    <font>
      <sz val="10"/>
      <name val="Arial"/>
      <family val="2"/>
    </font>
    <font>
      <sz val="18"/>
      <color theme="3"/>
      <name val="Calibri Light"/>
      <family val="2"/>
      <scheme val="major"/>
    </font>
    <font>
      <i/>
      <sz val="10"/>
      <color theme="4"/>
      <name val="Calibri"/>
      <family val="2"/>
      <scheme val="minor"/>
    </font>
    <font>
      <b/>
      <sz val="9"/>
      <color theme="0"/>
      <name val="Calibri"/>
      <family val="2"/>
      <scheme val="minor"/>
    </font>
    <font>
      <sz val="20"/>
      <color theme="0" tint="-0.3499799966812134"/>
      <name val="Calibri"/>
      <family val="2"/>
      <scheme val="minor"/>
    </font>
    <font>
      <sz val="12"/>
      <color theme="0" tint="-0.3499799966812134"/>
      <name val="Calibri"/>
      <family val="2"/>
      <scheme val="minor"/>
    </font>
    <font>
      <sz val="11"/>
      <color theme="1"/>
      <name val="Czcionka tekstu podstawowego"/>
      <family val="2"/>
    </font>
    <font>
      <u val="single"/>
      <sz val="11"/>
      <color theme="10"/>
      <name val="Czcionka tekstu podstawowego"/>
      <family val="2"/>
    </font>
    <font>
      <sz val="11"/>
      <color rgb="FF000000"/>
      <name val="Calibri"/>
      <family val="2"/>
      <scheme val="minor"/>
    </font>
    <font>
      <b/>
      <sz val="9"/>
      <name val="Tahoma"/>
      <family val="2"/>
    </font>
    <font>
      <sz val="9"/>
      <name val="Tahoma"/>
      <family val="2"/>
    </font>
    <font>
      <b/>
      <sz val="8"/>
      <color theme="5" tint="-0.24997000396251678"/>
      <name val="Calibri"/>
      <family val="2"/>
      <scheme val="minor"/>
    </font>
    <font>
      <sz val="8"/>
      <color theme="5" tint="-0.24997000396251678"/>
      <name val="Calibri"/>
      <family val="2"/>
      <scheme val="minor"/>
    </font>
    <font>
      <sz val="8"/>
      <color theme="1"/>
      <name val="Calibri"/>
      <family val="2"/>
      <scheme val="minor"/>
    </font>
    <font>
      <b/>
      <sz val="8"/>
      <color theme="1"/>
      <name val="Calibri"/>
      <family val="2"/>
      <scheme val="minor"/>
    </font>
    <font>
      <sz val="8"/>
      <name val="Calibri"/>
      <family val="2"/>
      <scheme val="minor"/>
    </font>
    <font>
      <sz val="8"/>
      <color rgb="FFFFFFFF"/>
      <name val="Calibri"/>
      <family val="2"/>
      <scheme val="minor"/>
    </font>
    <font>
      <b/>
      <sz val="8"/>
      <color rgb="FF000000"/>
      <name val="Calibri"/>
      <family val="2"/>
      <scheme val="minor"/>
    </font>
    <font>
      <sz val="8"/>
      <color rgb="FF000000"/>
      <name val="Calibri"/>
      <family val="2"/>
      <scheme val="minor"/>
    </font>
    <font>
      <b/>
      <sz val="8"/>
      <name val="Calibri"/>
      <family val="2"/>
      <scheme val="minor"/>
    </font>
    <font>
      <i/>
      <sz val="8"/>
      <color theme="1"/>
      <name val="Calibri"/>
      <family val="2"/>
      <scheme val="minor"/>
    </font>
    <font>
      <i/>
      <sz val="8"/>
      <color theme="5" tint="-0.24997000396251678"/>
      <name val="Calibri"/>
      <family val="2"/>
      <scheme val="minor"/>
    </font>
    <font>
      <sz val="8"/>
      <color theme="5" tint="-0.4999699890613556"/>
      <name val="Calibri"/>
      <family val="2"/>
      <scheme val="minor"/>
    </font>
    <font>
      <sz val="8"/>
      <color theme="5" tint="-0.4999699890613556"/>
      <name val="Times New Roman"/>
      <family val="1"/>
    </font>
    <font>
      <b/>
      <sz val="9"/>
      <color theme="5" tint="-0.4999699890613556"/>
      <name val="Calibri"/>
      <family val="2"/>
      <scheme val="minor"/>
    </font>
    <font>
      <b/>
      <sz val="8"/>
      <color theme="5" tint="-0.4999699890613556"/>
      <name val="Calibri"/>
      <family val="2"/>
      <scheme val="minor"/>
    </font>
    <font>
      <b/>
      <sz val="10"/>
      <color theme="5" tint="-0.4999699890613556"/>
      <name val="Times New Roman"/>
      <family val="1"/>
    </font>
    <font>
      <sz val="9"/>
      <color theme="5" tint="-0.4999699890613556"/>
      <name val="Calibri"/>
      <family val="2"/>
      <scheme val="minor"/>
    </font>
    <font>
      <sz val="11"/>
      <color theme="5" tint="-0.4999699890613556"/>
      <name val="Calibri"/>
      <family val="2"/>
      <scheme val="minor"/>
    </font>
    <font>
      <sz val="9"/>
      <color theme="1"/>
      <name val="Calibri"/>
      <family val="2"/>
      <scheme val="minor"/>
    </font>
    <font>
      <sz val="9"/>
      <color theme="8" tint="-0.4999699890613556"/>
      <name val="Calibri"/>
      <family val="2"/>
      <scheme val="minor"/>
    </font>
    <font>
      <i/>
      <sz val="9"/>
      <color theme="1"/>
      <name val="Calibri"/>
      <family val="2"/>
      <scheme val="minor"/>
    </font>
    <font>
      <b/>
      <sz val="9"/>
      <name val="Calibri"/>
      <family val="2"/>
      <scheme val="minor"/>
    </font>
    <font>
      <sz val="9"/>
      <color rgb="FF000000"/>
      <name val="Calibri"/>
      <family val="2"/>
      <scheme val="minor"/>
    </font>
    <font>
      <vertAlign val="subscript"/>
      <sz val="8"/>
      <color theme="1"/>
      <name val="Calibri"/>
      <family val="2"/>
      <scheme val="minor"/>
    </font>
    <font>
      <vertAlign val="superscript"/>
      <sz val="8"/>
      <color theme="1"/>
      <name val="Calibri"/>
      <family val="2"/>
      <scheme val="minor"/>
    </font>
    <font>
      <sz val="11"/>
      <name val="Fira Sans"/>
      <family val="2"/>
    </font>
    <font>
      <sz val="12"/>
      <name val="Fira Sans"/>
      <family val="2"/>
    </font>
    <font>
      <sz val="16"/>
      <name val="Fira Sans"/>
      <family val="2"/>
    </font>
    <font>
      <sz val="22"/>
      <name val="Fira Sans"/>
      <family val="2"/>
    </font>
    <font>
      <sz val="10"/>
      <name val="Fira Sans"/>
      <family val="2"/>
    </font>
    <font>
      <sz val="8"/>
      <name val="Fira Sans"/>
      <family val="2"/>
    </font>
    <font>
      <sz val="14"/>
      <name val="Fira Sans"/>
      <family val="2"/>
    </font>
    <font>
      <sz val="9"/>
      <name val="Fira Sans"/>
      <family val="2"/>
    </font>
    <font>
      <sz val="12"/>
      <name val="Fira Sans SemiBold"/>
      <family val="2"/>
    </font>
    <font>
      <sz val="9"/>
      <name val="Fira Sans SemiBold"/>
      <family val="2"/>
    </font>
    <font>
      <sz val="10"/>
      <name val="Fira Sans SemiBold"/>
      <family val="2"/>
    </font>
    <font>
      <sz val="11"/>
      <name val="Fira Sans SemiBold"/>
      <family val="2"/>
    </font>
    <font>
      <sz val="11"/>
      <color theme="1"/>
      <name val="Fira Sans"/>
      <family val="2"/>
    </font>
    <font>
      <i/>
      <sz val="11"/>
      <color theme="1"/>
      <name val="Fira Sans"/>
      <family val="2"/>
    </font>
    <font>
      <sz val="16"/>
      <color theme="1"/>
      <name val="Fira Sans"/>
      <family val="2"/>
    </font>
    <font>
      <sz val="14"/>
      <color theme="1"/>
      <name val="Fira Sans"/>
      <family val="2"/>
    </font>
    <font>
      <i/>
      <sz val="11"/>
      <name val="Fira Sans"/>
      <family val="2"/>
    </font>
    <font>
      <i/>
      <sz val="16"/>
      <color theme="1"/>
      <name val="Fira Sans"/>
      <family val="2"/>
    </font>
    <font>
      <i/>
      <sz val="16"/>
      <color theme="2" tint="-0.7499799728393555"/>
      <name val="Fira Sans"/>
      <family val="2"/>
    </font>
    <font>
      <i/>
      <sz val="10"/>
      <color theme="1"/>
      <name val="Fira Sans"/>
      <family val="2"/>
    </font>
    <font>
      <i/>
      <sz val="14"/>
      <color theme="1"/>
      <name val="Fira Sans"/>
      <family val="2"/>
    </font>
    <font>
      <i/>
      <sz val="10"/>
      <color theme="1" tint="0.24998000264167786"/>
      <name val="Fira Sans"/>
      <family val="2"/>
    </font>
    <font>
      <sz val="11"/>
      <color theme="1" tint="0.34999001026153564"/>
      <name val="Fira Sans"/>
      <family val="2"/>
    </font>
    <font>
      <sz val="14"/>
      <color theme="1" tint="0.34999001026153564"/>
      <name val="Fira Sans"/>
      <family val="2"/>
    </font>
    <font>
      <sz val="12"/>
      <color theme="1" tint="0.24998000264167786"/>
      <name val="Fira Sans"/>
      <family val="2"/>
    </font>
    <font>
      <sz val="14"/>
      <name val="Fira Sans SemiBold"/>
      <family val="2"/>
    </font>
    <font>
      <sz val="18"/>
      <name val="Fira Sans"/>
      <family val="2"/>
    </font>
    <font>
      <sz val="16"/>
      <name val="Fira Sans SemiBold"/>
      <family val="2"/>
    </font>
    <font>
      <sz val="8"/>
      <name val="Fira Sans SemiBold"/>
      <family val="2"/>
    </font>
    <font>
      <sz val="10"/>
      <color rgb="FFFF0000"/>
      <name val="Fira Sans"/>
      <family val="2"/>
    </font>
    <font>
      <sz val="10"/>
      <color theme="1"/>
      <name val="Fira Sans"/>
      <family val="2"/>
    </font>
    <font>
      <sz val="11"/>
      <color theme="4"/>
      <name val="Fira Sans"/>
      <family val="2"/>
    </font>
    <font>
      <sz val="11"/>
      <color theme="1" tint="0.49998000264167786"/>
      <name val="Fira Sans"/>
      <family val="2"/>
    </font>
    <font>
      <sz val="11"/>
      <color theme="1" tint="0.24998000264167786"/>
      <name val="Fira Sans"/>
      <family val="2"/>
    </font>
    <font>
      <b/>
      <sz val="16"/>
      <color rgb="FF001D77"/>
      <name val="Fira Sans"/>
      <family val="2"/>
    </font>
    <font>
      <b/>
      <sz val="16"/>
      <color rgb="FF001D77"/>
      <name val="Fira Sans SemiBold"/>
      <family val="2"/>
    </font>
    <font>
      <b/>
      <sz val="14"/>
      <color rgb="FF001D77"/>
      <name val="Fira Sans"/>
      <family val="2"/>
    </font>
    <font>
      <b/>
      <sz val="11"/>
      <color rgb="FF001D77"/>
      <name val="Fira Sans"/>
      <family val="2"/>
    </font>
    <font>
      <b/>
      <sz val="18"/>
      <color theme="0" tint="-0.4999699890613556"/>
      <name val="Fira Sans SemiBold"/>
      <family val="2"/>
    </font>
    <font>
      <sz val="9"/>
      <name val="Calibri"/>
      <family val="2"/>
      <scheme val="minor"/>
    </font>
    <font>
      <sz val="7"/>
      <name val="Fira Sans SemiBold"/>
      <family val="2"/>
    </font>
    <font>
      <sz val="8"/>
      <color rgb="FF000000"/>
      <name val="Verdana"/>
      <family val="2"/>
    </font>
    <font>
      <sz val="10"/>
      <name val="Calibri"/>
      <family val="2"/>
    </font>
    <font>
      <sz val="10"/>
      <color rgb="FF000000"/>
      <name val="Fira Sans"/>
      <family val="2"/>
    </font>
    <font>
      <b/>
      <i/>
      <sz val="8"/>
      <color theme="1"/>
      <name val="Arial Narrow"/>
      <family val="2"/>
    </font>
    <font>
      <b/>
      <sz val="8"/>
      <color theme="1" tint="0.25"/>
      <name val="Fira Sans SemiBold"/>
      <family val="2"/>
    </font>
    <font>
      <sz val="9"/>
      <color theme="1" tint="0.25"/>
      <name val="Fira Sans SemiBold"/>
      <family val="2"/>
    </font>
    <font>
      <b/>
      <sz val="9"/>
      <color theme="1" tint="0.25"/>
      <name val="Fira Sans SemiBold"/>
      <family val="2"/>
    </font>
    <font>
      <sz val="9"/>
      <color theme="1" tint="0.35"/>
      <name val="Fira Sans SemiBold"/>
      <family val="2"/>
    </font>
    <font>
      <sz val="8"/>
      <color rgb="FF000000"/>
      <name val="Fira Sans SemiBold"/>
      <family val="2"/>
    </font>
    <font>
      <i/>
      <sz val="11"/>
      <color rgb="FF000000"/>
      <name val="Fira Sans SemiBold"/>
      <family val="2"/>
    </font>
    <font>
      <sz val="11"/>
      <color rgb="FF000000"/>
      <name val="Fira Sans SemiBold"/>
      <family val="2"/>
    </font>
    <font>
      <b/>
      <i/>
      <sz val="9"/>
      <color theme="9" tint="-0.5"/>
      <name val="Calibri"/>
      <family val="2"/>
    </font>
    <font>
      <sz val="11"/>
      <color rgb="FF000000"/>
      <name val="Fira Sans"/>
      <family val="2"/>
    </font>
    <font>
      <sz val="10"/>
      <color rgb="FF000000"/>
      <name val="Fira Sans SemiBold"/>
      <family val="2"/>
    </font>
    <font>
      <sz val="10"/>
      <color theme="1"/>
      <name val="Fira Sans SemiBold"/>
      <family val="2"/>
    </font>
    <font>
      <sz val="9"/>
      <name val="+mn-cs"/>
      <family val="2"/>
    </font>
    <font>
      <sz val="11"/>
      <color theme="1"/>
      <name val="Fira Sans SemiBold"/>
      <family val="2"/>
    </font>
    <font>
      <sz val="10"/>
      <color theme="1" tint="0.15"/>
      <name val="Fira Sans SemiBold"/>
      <family val="2"/>
    </font>
    <font>
      <sz val="10"/>
      <color theme="1" tint="0.25"/>
      <name val="Fira Sans SemiBold"/>
      <family val="2"/>
    </font>
    <font>
      <sz val="14"/>
      <color theme="1"/>
      <name val="Fira Sans SemiBold"/>
      <family val="2"/>
    </font>
    <font>
      <b/>
      <i/>
      <sz val="10"/>
      <color theme="1" tint="0.25"/>
      <name val="Fira Sans"/>
      <family val="2"/>
    </font>
    <font>
      <b/>
      <i/>
      <sz val="5"/>
      <color theme="1" tint="0.5"/>
      <name val="Arial Narrow"/>
      <family val="2"/>
    </font>
    <font>
      <sz val="16"/>
      <color theme="1"/>
      <name val="Arial Narrow"/>
      <family val="2"/>
    </font>
    <font>
      <b/>
      <i/>
      <sz val="14"/>
      <color theme="1" tint="0.5"/>
      <name val="Arial Narrow"/>
      <family val="2"/>
    </font>
    <font>
      <sz val="18"/>
      <color theme="1"/>
      <name val="Arial Narrow"/>
      <family val="2"/>
    </font>
    <font>
      <sz val="5"/>
      <color theme="1" tint="0.25"/>
      <name val="Arial Narrow"/>
      <family val="2"/>
    </font>
    <font>
      <sz val="12"/>
      <color theme="1" tint="0.25"/>
      <name val="Arial"/>
      <family val="2"/>
    </font>
    <font>
      <sz val="6"/>
      <color theme="1" tint="0.25"/>
      <name val="Arial"/>
      <family val="2"/>
    </font>
    <font>
      <sz val="11"/>
      <color theme="0"/>
      <name val="Calibri"/>
      <family val="2"/>
      <scheme val="minor"/>
    </font>
    <font>
      <b/>
      <sz val="8"/>
      <name val="Calibri"/>
      <family val="2"/>
    </font>
    <font>
      <sz val="8"/>
      <name val="Tahoma"/>
      <family val="2"/>
    </font>
    <font>
      <b/>
      <sz val="10"/>
      <color theme="1"/>
      <name val="Calibri"/>
      <family val="2"/>
    </font>
  </fonts>
  <fills count="22">
    <fill>
      <patternFill/>
    </fill>
    <fill>
      <patternFill patternType="gray125"/>
    </fill>
    <fill>
      <patternFill patternType="solid">
        <fgColor theme="4"/>
        <bgColor indexed="64"/>
      </patternFill>
    </fill>
    <fill>
      <patternFill patternType="solid">
        <fgColor rgb="FF395362"/>
        <bgColor indexed="64"/>
      </patternFill>
    </fill>
    <fill>
      <patternFill patternType="solid">
        <fgColor theme="3" tint="0.5999900102615356"/>
        <bgColor indexed="64"/>
      </patternFill>
    </fill>
    <fill>
      <patternFill patternType="solid">
        <fgColor rgb="FFFFFFFF"/>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theme="7" tint="0.7999799847602844"/>
        <bgColor indexed="64"/>
      </patternFill>
    </fill>
    <fill>
      <patternFill patternType="solid">
        <fgColor theme="9" tint="0.7999799847602844"/>
        <bgColor indexed="64"/>
      </patternFill>
    </fill>
  </fills>
  <borders count="38">
    <border>
      <left/>
      <right/>
      <top/>
      <bottom/>
      <diagonal/>
    </border>
    <border>
      <left/>
      <right/>
      <top/>
      <bottom style="dashed">
        <color theme="1" tint="0.34999001026153564"/>
      </bottom>
    </border>
    <border>
      <left style="thin">
        <color rgb="FFD3D3D3"/>
      </left>
      <right style="thin">
        <color rgb="FFD3D3D3"/>
      </right>
      <top style="thin">
        <color rgb="FFD3D3D3"/>
      </top>
      <bottom style="thin">
        <color rgb="FFD3D3D3"/>
      </bottom>
    </border>
    <border>
      <left style="thin">
        <color rgb="FFD3D3D3"/>
      </left>
      <right/>
      <top/>
      <bottom/>
    </border>
    <border>
      <left style="medium"/>
      <right style="medium"/>
      <top style="medium"/>
      <bottom/>
    </border>
    <border>
      <left style="medium"/>
      <right style="medium"/>
      <top/>
      <bottom/>
    </border>
    <border>
      <left style="medium"/>
      <right style="medium"/>
      <top/>
      <bottom style="medium"/>
    </border>
    <border>
      <left style="thick">
        <color theme="0" tint="-0.3499799966812134"/>
      </left>
      <right/>
      <top style="thick">
        <color theme="0" tint="-0.3499799966812134"/>
      </top>
      <bottom/>
    </border>
    <border>
      <left/>
      <right/>
      <top style="thick">
        <color theme="0" tint="-0.3499799966812134"/>
      </top>
      <bottom/>
    </border>
    <border>
      <left/>
      <right style="thick">
        <color theme="0" tint="-0.3499799966812134"/>
      </right>
      <top style="thick">
        <color theme="0" tint="-0.3499799966812134"/>
      </top>
      <bottom/>
    </border>
    <border>
      <left/>
      <right/>
      <top style="double">
        <color theme="4" tint="0.39991000294685364"/>
      </top>
      <bottom/>
    </border>
    <border>
      <left style="thick">
        <color theme="0" tint="-0.3499799966812134"/>
      </left>
      <right/>
      <top/>
      <bottom/>
    </border>
    <border>
      <left/>
      <right style="thick">
        <color theme="0" tint="-0.3499799966812134"/>
      </right>
      <top/>
      <bottom/>
    </border>
    <border>
      <left/>
      <right/>
      <top/>
      <bottom style="medium">
        <color theme="8" tint="0.39991000294685364"/>
      </bottom>
    </border>
    <border>
      <left/>
      <right/>
      <top/>
      <bottom style="thin">
        <color theme="8" tint="0.3999499976634979"/>
      </bottom>
    </border>
    <border>
      <left/>
      <right/>
      <top style="thin">
        <color theme="8" tint="0.3999499976634979"/>
      </top>
      <bottom style="thin">
        <color theme="8" tint="0.3999499976634979"/>
      </bottom>
    </border>
    <border>
      <left style="thick">
        <color theme="0" tint="-0.3499799966812134"/>
      </left>
      <right/>
      <top/>
      <bottom style="thick">
        <color theme="0" tint="-0.3499799966812134"/>
      </bottom>
    </border>
    <border>
      <left/>
      <right/>
      <top/>
      <bottom style="thick">
        <color theme="0" tint="-0.3499799966812134"/>
      </bottom>
    </border>
    <border>
      <left/>
      <right style="thick">
        <color theme="0" tint="-0.3499799966812134"/>
      </right>
      <top/>
      <bottom style="thick">
        <color theme="0" tint="-0.3499799966812134"/>
      </bottom>
    </border>
    <border>
      <left style="thin">
        <color theme="0" tint="-0.24993999302387238"/>
      </left>
      <right style="thin">
        <color theme="0" tint="-0.24993999302387238"/>
      </right>
      <top style="thin">
        <color theme="0" tint="-0.24993999302387238"/>
      </top>
      <bottom style="thin">
        <color theme="0" tint="-0.24993999302387238"/>
      </bottom>
    </border>
    <border>
      <left style="thick">
        <color theme="0" tint="-0.24993999302387238"/>
      </left>
      <right/>
      <top style="thick">
        <color theme="0" tint="-0.24993999302387238"/>
      </top>
      <bottom/>
    </border>
    <border>
      <left/>
      <right/>
      <top style="thick">
        <color theme="0" tint="-0.24993999302387238"/>
      </top>
      <bottom/>
    </border>
    <border>
      <left/>
      <right style="thick">
        <color theme="0" tint="-0.24993999302387238"/>
      </right>
      <top style="thick">
        <color theme="0" tint="-0.24993999302387238"/>
      </top>
      <bottom/>
    </border>
    <border>
      <left/>
      <right style="thick">
        <color theme="0" tint="-0.24993999302387238"/>
      </right>
      <top/>
      <bottom/>
    </border>
    <border>
      <left style="thick">
        <color theme="0" tint="-0.24993999302387238"/>
      </left>
      <right/>
      <top/>
      <bottom/>
    </border>
    <border>
      <left style="thick">
        <color theme="0" tint="-0.24993999302387238"/>
      </left>
      <right/>
      <top/>
      <bottom style="thick">
        <color theme="0" tint="-0.24993999302387238"/>
      </bottom>
    </border>
    <border>
      <left/>
      <right/>
      <top/>
      <bottom style="thick">
        <color theme="0" tint="-0.24993999302387238"/>
      </bottom>
    </border>
    <border>
      <left/>
      <right style="thick">
        <color theme="0" tint="-0.24993999302387238"/>
      </right>
      <top/>
      <bottom style="thick">
        <color theme="0" tint="-0.24993999302387238"/>
      </bottom>
    </border>
    <border>
      <left style="medium">
        <color theme="0" tint="-0.24993999302387238"/>
      </left>
      <right style="medium">
        <color theme="0" tint="-0.24993999302387238"/>
      </right>
      <top style="medium">
        <color theme="0" tint="-0.24993999302387238"/>
      </top>
      <bottom/>
    </border>
    <border>
      <left style="medium">
        <color theme="0" tint="-0.24993999302387238"/>
      </left>
      <right style="medium">
        <color theme="0" tint="-0.24993999302387238"/>
      </right>
      <top/>
      <bottom/>
    </border>
    <border>
      <left style="medium">
        <color theme="0" tint="-0.24993999302387238"/>
      </left>
      <right style="medium">
        <color theme="0" tint="-0.24993999302387238"/>
      </right>
      <top/>
      <bottom style="medium">
        <color theme="0" tint="-0.24993999302387238"/>
      </bottom>
    </border>
    <border>
      <left/>
      <right/>
      <top style="medium">
        <color theme="8" tint="0.39991000294685364"/>
      </top>
      <bottom/>
    </border>
    <border>
      <left style="medium">
        <color theme="0" tint="-0.24993999302387238"/>
      </left>
      <right/>
      <top style="medium">
        <color theme="0" tint="-0.24993999302387238"/>
      </top>
      <bottom style="medium">
        <color theme="0" tint="-0.24993999302387238"/>
      </bottom>
    </border>
    <border>
      <left/>
      <right/>
      <top style="medium">
        <color theme="0" tint="-0.24993999302387238"/>
      </top>
      <bottom style="medium">
        <color theme="0" tint="-0.24993999302387238"/>
      </bottom>
    </border>
    <border>
      <left/>
      <right style="medium">
        <color theme="0" tint="-0.24993999302387238"/>
      </right>
      <top style="medium">
        <color theme="0" tint="-0.24993999302387238"/>
      </top>
      <bottom style="medium">
        <color theme="0" tint="-0.24993999302387238"/>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top style="thin">
        <color theme="0" tint="-0.24993999302387238"/>
      </top>
      <bottom style="thin">
        <color theme="0" tint="-0.24993999302387238"/>
      </bottom>
    </border>
  </borders>
  <cellStyleXfs count="30">
    <xf numFmtId="0" fontId="9"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Protection="0">
      <alignment/>
    </xf>
    <xf numFmtId="0" fontId="4" fillId="2" borderId="0">
      <alignment horizontal="center" vertical="center"/>
      <protection/>
    </xf>
    <xf numFmtId="164" fontId="5" fillId="0" borderId="1">
      <alignment horizontal="center" vertical="center"/>
      <protection/>
    </xf>
    <xf numFmtId="9" fontId="6" fillId="0" borderId="0">
      <alignment horizontal="left" vertical="center" indent="1"/>
      <protection/>
    </xf>
    <xf numFmtId="0" fontId="7" fillId="0" borderId="0">
      <alignment/>
      <protection/>
    </xf>
    <xf numFmtId="0" fontId="8" fillId="0" borderId="0" applyNumberFormat="0" applyFill="0" applyBorder="0">
      <alignment/>
      <protection locked="0"/>
    </xf>
    <xf numFmtId="43" fontId="0" fillId="0" borderId="0" applyFont="0" applyFill="0" applyBorder="0" applyAlignment="0" applyProtection="0"/>
    <xf numFmtId="0" fontId="1" fillId="0" borderId="0">
      <alignment/>
      <protection/>
    </xf>
  </cellStyleXfs>
  <cellXfs count="437">
    <xf numFmtId="0" fontId="0" fillId="0" borderId="0" xfId="0"/>
    <xf numFmtId="0" fontId="13" fillId="0" borderId="0" xfId="0" applyFont="1" applyFill="1" applyBorder="1" applyAlignment="1" applyProtection="1">
      <alignment horizontal="center" vertical="center" wrapText="1"/>
      <protection hidden="1"/>
    </xf>
    <xf numFmtId="49" fontId="14" fillId="0" borderId="0" xfId="0" applyNumberFormat="1" applyFont="1" applyAlignment="1" applyProtection="1">
      <alignment horizontal="center" vertical="top" wrapText="1"/>
      <protection hidden="1"/>
    </xf>
    <xf numFmtId="0" fontId="14" fillId="0" borderId="0" xfId="0" applyFont="1" applyFill="1" applyAlignment="1" applyProtection="1">
      <alignment horizontal="center" vertical="top" wrapText="1"/>
      <protection hidden="1"/>
    </xf>
    <xf numFmtId="0" fontId="14" fillId="0" borderId="0" xfId="0" applyFont="1" applyProtection="1">
      <protection hidden="1"/>
    </xf>
    <xf numFmtId="49" fontId="14" fillId="0" borderId="0" xfId="0" applyNumberFormat="1" applyFont="1" applyProtection="1">
      <protection hidden="1"/>
    </xf>
    <xf numFmtId="0" fontId="14" fillId="0" borderId="0" xfId="0" applyFont="1" applyFill="1" applyBorder="1"/>
    <xf numFmtId="0" fontId="16" fillId="0" borderId="0" xfId="0" applyNumberFormat="1" applyFont="1" applyFill="1" applyBorder="1" applyAlignment="1" applyProtection="1">
      <alignment horizontal="center" vertical="top" readingOrder="1"/>
      <protection hidden="1"/>
    </xf>
    <xf numFmtId="0" fontId="16"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wrapText="1"/>
      <protection hidden="1"/>
    </xf>
    <xf numFmtId="0" fontId="16" fillId="0" borderId="0" xfId="0" applyNumberFormat="1" applyFont="1" applyFill="1" applyBorder="1" applyAlignment="1" applyProtection="1">
      <alignment vertical="top" wrapText="1" readingOrder="1"/>
      <protection hidden="1"/>
    </xf>
    <xf numFmtId="0" fontId="17" fillId="3" borderId="0" xfId="0" applyNumberFormat="1" applyFont="1" applyFill="1" applyBorder="1" applyAlignment="1" applyProtection="1">
      <alignment horizontal="center" vertical="top" readingOrder="1"/>
      <protection hidden="1"/>
    </xf>
    <xf numFmtId="0" fontId="17" fillId="3" borderId="0" xfId="0" applyNumberFormat="1" applyFont="1" applyFill="1" applyBorder="1" applyAlignment="1" applyProtection="1">
      <alignment horizontal="center" vertical="top" wrapText="1" readingOrder="1"/>
      <protection hidden="1"/>
    </xf>
    <xf numFmtId="0" fontId="14" fillId="4" borderId="0" xfId="0" applyFont="1" applyFill="1" applyBorder="1" applyAlignment="1" applyProtection="1">
      <alignment horizontal="center" vertical="top"/>
      <protection hidden="1"/>
    </xf>
    <xf numFmtId="0" fontId="12" fillId="0" borderId="0" xfId="0" applyFont="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2" fontId="12" fillId="0" borderId="0" xfId="0" applyNumberFormat="1" applyFont="1" applyBorder="1" applyAlignment="1" applyProtection="1">
      <alignment horizontal="center" vertical="center" wrapText="1"/>
      <protection hidden="1"/>
    </xf>
    <xf numFmtId="0" fontId="13" fillId="0" borderId="0" xfId="0" applyFont="1" applyBorder="1" applyAlignment="1" applyProtection="1">
      <alignment horizontal="center" vertical="top"/>
      <protection hidden="1"/>
    </xf>
    <xf numFmtId="0" fontId="14" fillId="0" borderId="0" xfId="0" applyFont="1" applyBorder="1" applyAlignment="1" applyProtection="1">
      <alignment horizontal="center" vertical="top"/>
      <protection hidden="1"/>
    </xf>
    <xf numFmtId="0" fontId="20" fillId="0" borderId="0" xfId="0" applyFont="1" applyFill="1" applyBorder="1" applyAlignment="1" applyProtection="1">
      <alignment horizontal="center" vertical="center"/>
      <protection hidden="1"/>
    </xf>
    <xf numFmtId="0" fontId="18" fillId="5" borderId="0" xfId="0" applyNumberFormat="1" applyFont="1" applyFill="1" applyBorder="1" applyAlignment="1" applyProtection="1">
      <alignment vertical="center" readingOrder="1"/>
      <protection hidden="1"/>
    </xf>
    <xf numFmtId="49" fontId="18" fillId="5" borderId="0" xfId="0" applyNumberFormat="1" applyFont="1" applyFill="1" applyBorder="1" applyAlignment="1" applyProtection="1">
      <alignment vertical="center" readingOrder="1"/>
      <protection hidden="1"/>
    </xf>
    <xf numFmtId="0" fontId="14" fillId="0" borderId="0" xfId="0" applyFont="1" applyBorder="1" applyProtection="1">
      <protection hidden="1"/>
    </xf>
    <xf numFmtId="0" fontId="14" fillId="0" borderId="0" xfId="20" applyNumberFormat="1" applyFont="1" applyBorder="1" applyProtection="1">
      <protection hidden="1"/>
    </xf>
    <xf numFmtId="0" fontId="14" fillId="4" borderId="0" xfId="0" applyFont="1" applyFill="1" applyBorder="1" applyProtection="1">
      <protection hidden="1"/>
    </xf>
    <xf numFmtId="0" fontId="13" fillId="0" borderId="0" xfId="0" applyFont="1" applyBorder="1" applyProtection="1">
      <protection hidden="1"/>
    </xf>
    <xf numFmtId="2" fontId="13" fillId="0" borderId="0" xfId="0" applyNumberFormat="1" applyFont="1" applyBorder="1" applyProtection="1">
      <protection hidden="1"/>
    </xf>
    <xf numFmtId="0" fontId="16" fillId="0" borderId="0" xfId="0" applyFont="1" applyFill="1" applyBorder="1" applyAlignment="1" applyProtection="1">
      <alignment horizontal="center"/>
      <protection hidden="1"/>
    </xf>
    <xf numFmtId="0" fontId="19" fillId="5" borderId="0" xfId="0" applyNumberFormat="1" applyFont="1" applyFill="1" applyBorder="1" applyAlignment="1" applyProtection="1">
      <alignment vertical="center" readingOrder="1"/>
      <protection hidden="1"/>
    </xf>
    <xf numFmtId="0" fontId="14" fillId="6" borderId="0" xfId="0" applyFont="1" applyFill="1" applyBorder="1" applyProtection="1">
      <protection hidden="1"/>
    </xf>
    <xf numFmtId="0" fontId="14" fillId="0" borderId="0" xfId="0" applyFont="1" applyBorder="1" applyAlignment="1" applyProtection="1">
      <alignment horizontal="left"/>
      <protection hidden="1"/>
    </xf>
    <xf numFmtId="0" fontId="14" fillId="0" borderId="0" xfId="0" applyNumberFormat="1" applyFont="1" applyBorder="1" applyProtection="1">
      <protection hidden="1"/>
    </xf>
    <xf numFmtId="0" fontId="21" fillId="7" borderId="0" xfId="0" applyFont="1" applyFill="1" applyBorder="1" applyAlignment="1" applyProtection="1">
      <alignment horizontal="center"/>
      <protection hidden="1"/>
    </xf>
    <xf numFmtId="0" fontId="14" fillId="8" borderId="0" xfId="0" applyFont="1" applyFill="1" applyBorder="1" applyProtection="1">
      <protection hidden="1"/>
    </xf>
    <xf numFmtId="49" fontId="14" fillId="0" borderId="0" xfId="0" applyNumberFormat="1" applyFont="1" applyBorder="1" applyProtection="1">
      <protection hidden="1"/>
    </xf>
    <xf numFmtId="0" fontId="12" fillId="9"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top" wrapText="1"/>
      <protection hidden="1"/>
    </xf>
    <xf numFmtId="0" fontId="14" fillId="10" borderId="0" xfId="0" applyFont="1" applyFill="1" applyBorder="1"/>
    <xf numFmtId="0" fontId="12" fillId="0" borderId="0" xfId="0" applyFont="1" applyFill="1" applyBorder="1" applyAlignment="1" applyProtection="1">
      <alignment vertical="center"/>
      <protection hidden="1"/>
    </xf>
    <xf numFmtId="0" fontId="14" fillId="0" borderId="0" xfId="0" applyFont="1" applyFill="1" applyBorder="1" applyProtection="1">
      <protection hidden="1"/>
    </xf>
    <xf numFmtId="49" fontId="14" fillId="0" borderId="0" xfId="0" applyNumberFormat="1" applyFont="1" applyFill="1" applyBorder="1" applyProtection="1">
      <protection hidden="1"/>
    </xf>
    <xf numFmtId="0" fontId="12" fillId="9" borderId="0" xfId="0" applyFont="1" applyFill="1" applyBorder="1"/>
    <xf numFmtId="0" fontId="13" fillId="0" borderId="0" xfId="0" applyFont="1" applyFill="1" applyBorder="1"/>
    <xf numFmtId="0" fontId="13" fillId="0" borderId="0" xfId="0" applyFont="1" applyFill="1" applyBorder="1" applyProtection="1">
      <protection hidden="1"/>
    </xf>
    <xf numFmtId="0" fontId="13" fillId="0" borderId="0" xfId="0" applyFont="1" applyFill="1" applyBorder="1" applyAlignment="1" applyProtection="1">
      <alignment horizontal="center"/>
      <protection hidden="1"/>
    </xf>
    <xf numFmtId="0" fontId="12" fillId="9" borderId="0" xfId="0" applyFont="1" applyFill="1" applyBorder="1" applyProtection="1">
      <protection hidden="1"/>
    </xf>
    <xf numFmtId="0" fontId="22" fillId="0" borderId="0" xfId="0" applyFont="1" applyFill="1" applyBorder="1" applyAlignment="1" applyProtection="1">
      <alignment horizontal="right"/>
      <protection hidden="1" locked="0"/>
    </xf>
    <xf numFmtId="0" fontId="12" fillId="9" borderId="0" xfId="0" applyFont="1" applyFill="1" applyBorder="1" applyAlignment="1" applyProtection="1">
      <alignment horizontal="right"/>
      <protection hidden="1"/>
    </xf>
    <xf numFmtId="0" fontId="19" fillId="5" borderId="2" xfId="0" applyNumberFormat="1" applyFont="1" applyFill="1" applyBorder="1" applyAlignment="1">
      <alignment vertical="center" readingOrder="1"/>
    </xf>
    <xf numFmtId="0" fontId="19" fillId="0" borderId="2" xfId="0" applyNumberFormat="1" applyFont="1" applyFill="1" applyBorder="1" applyAlignment="1">
      <alignment vertical="center" readingOrder="1"/>
    </xf>
    <xf numFmtId="0" fontId="19" fillId="0" borderId="2" xfId="0" applyNumberFormat="1" applyFont="1" applyFill="1" applyBorder="1" applyAlignment="1">
      <alignment horizontal="left" vertical="center" readingOrder="1"/>
    </xf>
    <xf numFmtId="0" fontId="16" fillId="0" borderId="0" xfId="0" applyFont="1" applyFill="1" applyBorder="1" applyAlignment="1">
      <alignment/>
    </xf>
    <xf numFmtId="167" fontId="14" fillId="0" borderId="0" xfId="0" applyNumberFormat="1" applyFont="1" applyAlignment="1" applyProtection="1">
      <alignment horizontal="right" vertical="center" wrapText="1"/>
      <protection hidden="1"/>
    </xf>
    <xf numFmtId="0" fontId="14" fillId="0" borderId="0" xfId="0" applyFont="1" applyAlignment="1" applyProtection="1">
      <alignment horizontal="right"/>
      <protection hidden="1"/>
    </xf>
    <xf numFmtId="0" fontId="23" fillId="9" borderId="0" xfId="0" applyFont="1" applyFill="1" applyAlignment="1" applyProtection="1">
      <alignment horizontal="center" vertical="center" wrapText="1"/>
      <protection hidden="1"/>
    </xf>
    <xf numFmtId="0" fontId="24" fillId="9" borderId="0" xfId="0" applyNumberFormat="1" applyFont="1" applyFill="1" applyAlignment="1" applyProtection="1">
      <alignment horizontal="center" vertical="center" wrapText="1"/>
      <protection hidden="1"/>
    </xf>
    <xf numFmtId="0" fontId="23" fillId="9" borderId="0" xfId="0" applyFont="1" applyFill="1" applyProtection="1">
      <protection hidden="1"/>
    </xf>
    <xf numFmtId="0" fontId="14" fillId="11" borderId="0" xfId="0" applyNumberFormat="1" applyFont="1" applyFill="1" applyAlignment="1" applyProtection="1">
      <alignment horizontal="right" vertical="center" wrapText="1"/>
      <protection hidden="1"/>
    </xf>
    <xf numFmtId="167" fontId="14" fillId="11" borderId="0" xfId="0" applyNumberFormat="1" applyFont="1" applyFill="1" applyAlignment="1" applyProtection="1">
      <alignment horizontal="right" vertical="center" wrapText="1"/>
      <protection hidden="1"/>
    </xf>
    <xf numFmtId="170" fontId="14" fillId="11" borderId="0" xfId="0" applyNumberFormat="1" applyFont="1" applyFill="1" applyAlignment="1" applyProtection="1">
      <alignment horizontal="right" vertical="center" wrapText="1"/>
      <protection hidden="1"/>
    </xf>
    <xf numFmtId="2" fontId="14" fillId="0" borderId="0" xfId="0" applyNumberFormat="1" applyFont="1" applyProtection="1">
      <protection hidden="1"/>
    </xf>
    <xf numFmtId="0" fontId="25" fillId="0" borderId="0" xfId="0" applyFont="1" applyAlignment="1" applyProtection="1">
      <alignment horizontal="center" vertical="center" wrapText="1"/>
      <protection hidden="1"/>
    </xf>
    <xf numFmtId="0" fontId="26" fillId="0" borderId="0" xfId="0" applyFont="1" applyFill="1" applyAlignment="1" applyProtection="1">
      <alignment horizontal="center" vertical="center" wrapText="1"/>
      <protection hidden="1"/>
    </xf>
    <xf numFmtId="0" fontId="27" fillId="0" borderId="0" xfId="0" applyNumberFormat="1" applyFont="1" applyAlignment="1" applyProtection="1">
      <alignment horizontal="center" vertical="center" wrapText="1"/>
      <protection hidden="1"/>
    </xf>
    <xf numFmtId="0" fontId="28" fillId="0" borderId="0" xfId="0" applyFont="1" applyProtection="1">
      <protection hidden="1"/>
    </xf>
    <xf numFmtId="1" fontId="28" fillId="0" borderId="0" xfId="0" applyNumberFormat="1" applyFont="1" applyProtection="1">
      <protection hidden="1"/>
    </xf>
    <xf numFmtId="2" fontId="28" fillId="0" borderId="0" xfId="0" applyNumberFormat="1" applyFont="1" applyProtection="1">
      <protection hidden="1"/>
    </xf>
    <xf numFmtId="0" fontId="29" fillId="0" borderId="0" xfId="0" applyFont="1"/>
    <xf numFmtId="0" fontId="25" fillId="0" borderId="0" xfId="0" applyFont="1" applyAlignment="1" applyProtection="1">
      <alignment wrapText="1"/>
      <protection hidden="1"/>
    </xf>
    <xf numFmtId="0" fontId="30" fillId="8" borderId="0" xfId="0" applyFont="1" applyFill="1" applyProtection="1">
      <protection hidden="1"/>
    </xf>
    <xf numFmtId="0" fontId="30" fillId="0" borderId="0" xfId="0" applyFont="1" applyProtection="1">
      <protection hidden="1"/>
    </xf>
    <xf numFmtId="165" fontId="30" fillId="0" borderId="0" xfId="20" applyNumberFormat="1" applyFont="1" applyProtection="1">
      <protection hidden="1"/>
    </xf>
    <xf numFmtId="0" fontId="30" fillId="0" borderId="0" xfId="20" applyNumberFormat="1" applyFont="1" applyProtection="1">
      <protection hidden="1"/>
    </xf>
    <xf numFmtId="0" fontId="30" fillId="12" borderId="0" xfId="0" applyFont="1" applyFill="1" applyProtection="1">
      <protection hidden="1"/>
    </xf>
    <xf numFmtId="9" fontId="30" fillId="0" borderId="0" xfId="20" applyFont="1" applyProtection="1">
      <protection hidden="1"/>
    </xf>
    <xf numFmtId="165" fontId="30" fillId="8" borderId="0" xfId="20" applyNumberFormat="1" applyFont="1" applyFill="1" applyProtection="1">
      <protection hidden="1"/>
    </xf>
    <xf numFmtId="0" fontId="31" fillId="0" borderId="0" xfId="0" applyNumberFormat="1" applyFont="1" applyAlignment="1" applyProtection="1">
      <alignment horizontal="left" vertical="center"/>
      <protection hidden="1"/>
    </xf>
    <xf numFmtId="0" fontId="31" fillId="0" borderId="0" xfId="0" applyFont="1" applyAlignment="1" applyProtection="1">
      <alignment horizontal="left"/>
      <protection hidden="1"/>
    </xf>
    <xf numFmtId="0" fontId="31" fillId="0" borderId="0" xfId="0" applyFont="1" applyAlignment="1" applyProtection="1">
      <alignment horizontal="left" vertical="center"/>
      <protection hidden="1"/>
    </xf>
    <xf numFmtId="49" fontId="30" fillId="0" borderId="0" xfId="0" applyNumberFormat="1" applyFont="1" applyProtection="1">
      <protection hidden="1"/>
    </xf>
    <xf numFmtId="0" fontId="30" fillId="0" borderId="0" xfId="0" applyFont="1" applyBorder="1" applyProtection="1">
      <protection hidden="1"/>
    </xf>
    <xf numFmtId="0" fontId="32" fillId="13" borderId="0" xfId="0" applyFont="1" applyFill="1" applyProtection="1">
      <protection hidden="1"/>
    </xf>
    <xf numFmtId="0" fontId="33" fillId="14" borderId="2" xfId="0" applyNumberFormat="1" applyFont="1" applyFill="1" applyBorder="1" applyAlignment="1" applyProtection="1">
      <alignment horizontal="center" vertical="top" readingOrder="1"/>
      <protection hidden="1"/>
    </xf>
    <xf numFmtId="0" fontId="33" fillId="4" borderId="0" xfId="0" applyFont="1" applyFill="1" applyProtection="1">
      <protection hidden="1"/>
    </xf>
    <xf numFmtId="0" fontId="34" fillId="5" borderId="0" xfId="0" applyNumberFormat="1" applyFont="1" applyFill="1" applyBorder="1" applyAlignment="1" applyProtection="1">
      <alignment vertical="center" readingOrder="1"/>
      <protection hidden="1"/>
    </xf>
    <xf numFmtId="0" fontId="30" fillId="8" borderId="0" xfId="0" applyFont="1" applyFill="1" applyAlignment="1" applyProtection="1">
      <alignment vertical="top"/>
      <protection hidden="1"/>
    </xf>
    <xf numFmtId="0" fontId="33" fillId="14" borderId="3" xfId="0" applyNumberFormat="1" applyFont="1" applyFill="1" applyBorder="1" applyAlignment="1" applyProtection="1">
      <alignment horizontal="center" vertical="top" wrapText="1" readingOrder="1"/>
      <protection hidden="1"/>
    </xf>
    <xf numFmtId="0" fontId="30" fillId="0" borderId="0" xfId="0" applyFont="1" applyAlignment="1" applyProtection="1">
      <alignment vertical="top"/>
      <protection hidden="1"/>
    </xf>
    <xf numFmtId="1" fontId="30" fillId="0" borderId="0" xfId="20" applyNumberFormat="1" applyFont="1" applyProtection="1">
      <protection hidden="1"/>
    </xf>
    <xf numFmtId="1" fontId="30" fillId="0" borderId="0" xfId="0" applyNumberFormat="1" applyFont="1" applyProtection="1">
      <protection hidden="1"/>
    </xf>
    <xf numFmtId="0" fontId="28" fillId="0" borderId="0" xfId="0" applyFont="1" applyBorder="1" applyProtection="1">
      <protection hidden="1"/>
    </xf>
    <xf numFmtId="0" fontId="30" fillId="4" borderId="0" xfId="0" applyFont="1" applyFill="1" applyProtection="1">
      <protection hidden="1"/>
    </xf>
    <xf numFmtId="0" fontId="14" fillId="7" borderId="0" xfId="0" applyFont="1" applyFill="1" applyBorder="1"/>
    <xf numFmtId="0" fontId="14" fillId="7" borderId="0" xfId="0" applyFont="1" applyFill="1" applyBorder="1" applyAlignment="1">
      <alignment wrapText="1"/>
    </xf>
    <xf numFmtId="0" fontId="30" fillId="11" borderId="0" xfId="0" applyFont="1" applyFill="1" applyProtection="1">
      <protection hidden="1"/>
    </xf>
    <xf numFmtId="2" fontId="14" fillId="0" borderId="0" xfId="20" applyNumberFormat="1" applyFont="1" applyBorder="1" applyProtection="1">
      <protection hidden="1"/>
    </xf>
    <xf numFmtId="0" fontId="33" fillId="15" borderId="2" xfId="0" applyNumberFormat="1" applyFont="1" applyFill="1" applyBorder="1" applyAlignment="1" applyProtection="1">
      <alignment horizontal="center" vertical="top" readingOrder="1"/>
      <protection hidden="1"/>
    </xf>
    <xf numFmtId="1" fontId="33" fillId="16" borderId="0" xfId="20" applyNumberFormat="1" applyFont="1" applyFill="1" applyProtection="1">
      <protection hidden="1"/>
    </xf>
    <xf numFmtId="0" fontId="25" fillId="0" borderId="0" xfId="0" applyFont="1" applyBorder="1" applyAlignment="1" applyProtection="1">
      <alignment wrapText="1"/>
      <protection hidden="1"/>
    </xf>
    <xf numFmtId="0" fontId="23" fillId="9" borderId="0" xfId="0" applyFont="1" applyFill="1" applyBorder="1" applyAlignment="1" applyProtection="1">
      <alignment horizontal="center" vertical="center" wrapText="1"/>
      <protection hidden="1"/>
    </xf>
    <xf numFmtId="2" fontId="28" fillId="0" borderId="0" xfId="0" applyNumberFormat="1" applyFont="1" applyBorder="1" applyProtection="1">
      <protection hidden="1"/>
    </xf>
    <xf numFmtId="0" fontId="13" fillId="11" borderId="4" xfId="0" applyFont="1" applyFill="1" applyBorder="1" applyAlignment="1" applyProtection="1">
      <alignment horizontal="center"/>
      <protection hidden="1"/>
    </xf>
    <xf numFmtId="0" fontId="13" fillId="0" borderId="5" xfId="0" applyFont="1" applyFill="1" applyBorder="1" applyAlignment="1" applyProtection="1">
      <alignment horizontal="center"/>
      <protection hidden="1"/>
    </xf>
    <xf numFmtId="0" fontId="13" fillId="0" borderId="6" xfId="0" applyFont="1" applyFill="1" applyBorder="1" applyAlignment="1" applyProtection="1">
      <alignment horizontal="center"/>
      <protection hidden="1"/>
    </xf>
    <xf numFmtId="0" fontId="30" fillId="13" borderId="0" xfId="0" applyFont="1" applyFill="1" applyProtection="1">
      <protection hidden="1"/>
    </xf>
    <xf numFmtId="0" fontId="13" fillId="17" borderId="0" xfId="0" applyFont="1" applyFill="1" applyBorder="1"/>
    <xf numFmtId="0" fontId="37" fillId="12" borderId="0" xfId="0" applyFont="1" applyFill="1" applyBorder="1" applyProtection="1">
      <protection hidden="1"/>
    </xf>
    <xf numFmtId="0" fontId="38" fillId="12" borderId="0" xfId="0" applyFont="1" applyFill="1" applyBorder="1" applyProtection="1">
      <protection hidden="1"/>
    </xf>
    <xf numFmtId="0" fontId="38" fillId="12" borderId="0" xfId="0" applyFont="1" applyFill="1" applyBorder="1" applyAlignment="1" applyProtection="1">
      <alignment horizontal="center"/>
      <protection hidden="1"/>
    </xf>
    <xf numFmtId="0" fontId="37" fillId="12" borderId="0" xfId="0" applyFont="1" applyFill="1" applyBorder="1" applyAlignment="1" applyProtection="1">
      <alignment horizontal="center"/>
      <protection hidden="1"/>
    </xf>
    <xf numFmtId="0" fontId="37" fillId="12" borderId="0" xfId="0" applyFont="1" applyFill="1" applyBorder="1" applyAlignment="1">
      <alignment horizontal="left" vertical="center"/>
    </xf>
    <xf numFmtId="0" fontId="37" fillId="12" borderId="0" xfId="0" applyFont="1" applyFill="1" applyBorder="1" applyAlignment="1">
      <alignment horizontal="right"/>
    </xf>
    <xf numFmtId="0" fontId="39" fillId="12" borderId="0" xfId="0" applyFont="1" applyFill="1" applyAlignment="1" applyProtection="1">
      <alignment vertical="center"/>
      <protection hidden="1"/>
    </xf>
    <xf numFmtId="0" fontId="39" fillId="12" borderId="0" xfId="0" applyFont="1" applyFill="1" applyAlignment="1" applyProtection="1">
      <alignment horizontal="center" vertical="center"/>
      <protection hidden="1"/>
    </xf>
    <xf numFmtId="0" fontId="37" fillId="12" borderId="0" xfId="0" applyFont="1" applyFill="1" applyBorder="1" applyAlignment="1">
      <alignment horizontal="center"/>
    </xf>
    <xf numFmtId="0" fontId="37" fillId="12" borderId="0" xfId="0" applyFont="1" applyFill="1" applyBorder="1"/>
    <xf numFmtId="0" fontId="37" fillId="12" borderId="0" xfId="0" applyFont="1" applyFill="1" applyProtection="1">
      <protection hidden="1"/>
    </xf>
    <xf numFmtId="0" fontId="40" fillId="12" borderId="0" xfId="0" applyFont="1" applyFill="1" applyAlignment="1" applyProtection="1">
      <alignment horizontal="center" vertical="center"/>
      <protection hidden="1"/>
    </xf>
    <xf numFmtId="0" fontId="37" fillId="12" borderId="0" xfId="0" applyFont="1" applyFill="1" applyAlignment="1" applyProtection="1">
      <alignment horizontal="center"/>
      <protection hidden="1"/>
    </xf>
    <xf numFmtId="0" fontId="40" fillId="12" borderId="0" xfId="0" applyFont="1" applyFill="1" applyAlignment="1" applyProtection="1">
      <alignment vertical="center"/>
      <protection hidden="1"/>
    </xf>
    <xf numFmtId="0" fontId="38" fillId="12" borderId="0" xfId="0" applyFont="1" applyFill="1" applyAlignment="1" applyProtection="1">
      <alignment horizontal="center"/>
      <protection hidden="1"/>
    </xf>
    <xf numFmtId="0" fontId="42" fillId="12" borderId="0" xfId="0" applyFont="1" applyFill="1" applyBorder="1" applyProtection="1">
      <protection hidden="1"/>
    </xf>
    <xf numFmtId="0" fontId="37" fillId="12" borderId="0" xfId="0" applyFont="1" applyFill="1" applyAlignment="1" applyProtection="1">
      <alignment vertical="center" wrapText="1"/>
      <protection hidden="1"/>
    </xf>
    <xf numFmtId="0" fontId="37" fillId="12" borderId="0" xfId="0" applyFont="1" applyFill="1" applyAlignment="1" applyProtection="1">
      <alignment horizontal="center" vertical="center" wrapText="1"/>
      <protection hidden="1"/>
    </xf>
    <xf numFmtId="0" fontId="42" fillId="12" borderId="7" xfId="0" applyFont="1" applyFill="1" applyBorder="1" applyProtection="1">
      <protection hidden="1"/>
    </xf>
    <xf numFmtId="0" fontId="38" fillId="12" borderId="8" xfId="0" applyFont="1" applyFill="1" applyBorder="1" applyAlignment="1" applyProtection="1">
      <alignment vertical="center" wrapText="1"/>
      <protection hidden="1"/>
    </xf>
    <xf numFmtId="0" fontId="38" fillId="12" borderId="8" xfId="0" applyFont="1" applyFill="1" applyBorder="1" applyAlignment="1" applyProtection="1">
      <alignment horizontal="center" vertical="center" wrapText="1"/>
      <protection hidden="1"/>
    </xf>
    <xf numFmtId="0" fontId="37" fillId="12" borderId="8" xfId="0" applyFont="1" applyFill="1" applyBorder="1" applyProtection="1">
      <protection hidden="1"/>
    </xf>
    <xf numFmtId="0" fontId="38" fillId="12" borderId="9" xfId="0" applyFont="1" applyFill="1" applyBorder="1" applyAlignment="1" applyProtection="1">
      <alignment vertical="center" wrapText="1"/>
      <protection hidden="1"/>
    </xf>
    <xf numFmtId="0" fontId="38" fillId="12" borderId="0" xfId="0" applyFont="1" applyFill="1" applyBorder="1" applyAlignment="1" applyProtection="1">
      <alignment horizontal="center" vertical="center" wrapText="1"/>
      <protection hidden="1"/>
    </xf>
    <xf numFmtId="0" fontId="38" fillId="12" borderId="10" xfId="0" applyFont="1" applyFill="1" applyBorder="1" applyAlignment="1" applyProtection="1">
      <alignment horizontal="center" vertical="center" wrapText="1"/>
      <protection hidden="1"/>
    </xf>
    <xf numFmtId="0" fontId="41" fillId="12" borderId="11" xfId="0" applyFont="1" applyFill="1" applyBorder="1" applyAlignment="1" applyProtection="1">
      <alignment vertical="center"/>
      <protection hidden="1"/>
    </xf>
    <xf numFmtId="0" fontId="41" fillId="12" borderId="0" xfId="0" applyFont="1" applyFill="1" applyBorder="1" applyAlignment="1" applyProtection="1">
      <alignment vertical="center"/>
      <protection hidden="1"/>
    </xf>
    <xf numFmtId="0" fontId="41" fillId="12" borderId="0" xfId="0" applyFont="1" applyFill="1" applyBorder="1" applyAlignment="1" applyProtection="1">
      <alignment horizontal="left" vertical="center"/>
      <protection hidden="1"/>
    </xf>
    <xf numFmtId="0" fontId="43" fillId="12" borderId="0" xfId="0" applyFont="1" applyFill="1" applyBorder="1" applyAlignment="1" applyProtection="1">
      <alignment vertical="center"/>
      <protection hidden="1"/>
    </xf>
    <xf numFmtId="0" fontId="38" fillId="12" borderId="0" xfId="0" applyFont="1" applyFill="1" applyBorder="1" applyAlignment="1" applyProtection="1">
      <alignment vertical="center" wrapText="1"/>
      <protection hidden="1"/>
    </xf>
    <xf numFmtId="0" fontId="38" fillId="12" borderId="12" xfId="0" applyFont="1" applyFill="1" applyBorder="1" applyAlignment="1" applyProtection="1">
      <alignment vertical="center" wrapText="1"/>
      <protection hidden="1"/>
    </xf>
    <xf numFmtId="0" fontId="41" fillId="12" borderId="0" xfId="0" applyFont="1" applyFill="1" applyAlignment="1" applyProtection="1">
      <alignment horizontal="center" vertical="center"/>
      <protection hidden="1"/>
    </xf>
    <xf numFmtId="0" fontId="41" fillId="12" borderId="0" xfId="0" applyFont="1" applyFill="1" applyAlignment="1" applyProtection="1">
      <alignment vertical="center"/>
      <protection hidden="1"/>
    </xf>
    <xf numFmtId="0" fontId="41" fillId="12" borderId="0" xfId="0" applyFont="1" applyFill="1" applyBorder="1" applyAlignment="1" applyProtection="1">
      <alignment horizontal="center" vertical="center"/>
      <protection hidden="1"/>
    </xf>
    <xf numFmtId="0" fontId="42" fillId="12" borderId="11" xfId="0" applyFont="1" applyFill="1" applyBorder="1" applyProtection="1">
      <protection hidden="1"/>
    </xf>
    <xf numFmtId="2" fontId="37" fillId="12" borderId="0" xfId="28" applyNumberFormat="1" applyFont="1" applyFill="1" applyBorder="1" applyAlignment="1" applyProtection="1">
      <alignment wrapText="1"/>
      <protection hidden="1"/>
    </xf>
    <xf numFmtId="2" fontId="37" fillId="12" borderId="12" xfId="28" applyNumberFormat="1" applyFont="1" applyFill="1" applyBorder="1" applyAlignment="1" applyProtection="1">
      <alignment wrapText="1"/>
      <protection hidden="1"/>
    </xf>
    <xf numFmtId="2" fontId="37" fillId="12" borderId="0" xfId="28" applyNumberFormat="1" applyFont="1" applyFill="1" applyBorder="1" applyAlignment="1" applyProtection="1">
      <alignment horizontal="center" wrapText="1"/>
      <protection hidden="1"/>
    </xf>
    <xf numFmtId="0" fontId="38" fillId="12" borderId="12" xfId="0" applyFont="1" applyFill="1" applyBorder="1" applyProtection="1">
      <protection hidden="1"/>
    </xf>
    <xf numFmtId="0" fontId="37" fillId="12" borderId="0" xfId="0" applyFont="1" applyFill="1" applyBorder="1" applyAlignment="1" applyProtection="1">
      <alignment vertical="center" wrapText="1"/>
      <protection hidden="1"/>
    </xf>
    <xf numFmtId="0" fontId="37" fillId="12" borderId="12" xfId="0" applyFont="1" applyFill="1" applyBorder="1" applyAlignment="1" applyProtection="1">
      <alignment/>
      <protection hidden="1"/>
    </xf>
    <xf numFmtId="0" fontId="37" fillId="12" borderId="0" xfId="0" applyFont="1" applyFill="1" applyBorder="1" applyAlignment="1" applyProtection="1">
      <alignment horizontal="center" vertical="top" wrapText="1"/>
      <protection hidden="1"/>
    </xf>
    <xf numFmtId="0" fontId="37" fillId="12" borderId="12" xfId="0" applyFont="1" applyFill="1" applyBorder="1" applyAlignment="1" applyProtection="1">
      <alignment wrapText="1"/>
      <protection hidden="1"/>
    </xf>
    <xf numFmtId="0" fontId="37" fillId="12" borderId="0" xfId="0" applyFont="1" applyFill="1" applyBorder="1" applyAlignment="1" applyProtection="1">
      <alignment horizontal="center" wrapText="1"/>
      <protection hidden="1"/>
    </xf>
    <xf numFmtId="0" fontId="37" fillId="12" borderId="0" xfId="0" applyFont="1" applyFill="1" applyBorder="1" applyAlignment="1" applyProtection="1">
      <alignment horizontal="left"/>
      <protection hidden="1"/>
    </xf>
    <xf numFmtId="0" fontId="42" fillId="12" borderId="0" xfId="0" applyFont="1" applyFill="1" applyBorder="1" applyAlignment="1" applyProtection="1">
      <alignment horizontal="center"/>
      <protection hidden="1"/>
    </xf>
    <xf numFmtId="0" fontId="37" fillId="12" borderId="12" xfId="0" applyFont="1" applyFill="1" applyBorder="1" applyProtection="1">
      <protection hidden="1"/>
    </xf>
    <xf numFmtId="0" fontId="37" fillId="12" borderId="11" xfId="0" applyFont="1" applyFill="1" applyBorder="1" applyProtection="1">
      <protection hidden="1"/>
    </xf>
    <xf numFmtId="0" fontId="41" fillId="12" borderId="0" xfId="0" applyFont="1" applyFill="1" applyBorder="1" applyAlignment="1" applyProtection="1">
      <alignment horizontal="center" vertical="top" wrapText="1"/>
      <protection hidden="1"/>
    </xf>
    <xf numFmtId="0" fontId="41" fillId="12" borderId="0" xfId="0" applyFont="1" applyFill="1" applyBorder="1" applyAlignment="1" applyProtection="1">
      <alignment horizontal="center"/>
      <protection hidden="1"/>
    </xf>
    <xf numFmtId="0" fontId="42" fillId="12" borderId="0" xfId="0" applyFont="1" applyFill="1" applyBorder="1" applyAlignment="1" applyProtection="1">
      <alignment/>
      <protection hidden="1"/>
    </xf>
    <xf numFmtId="0" fontId="44" fillId="12" borderId="13" xfId="28" applyNumberFormat="1" applyFont="1" applyFill="1" applyBorder="1" applyAlignment="1" applyProtection="1">
      <alignment horizontal="center"/>
      <protection hidden="1"/>
    </xf>
    <xf numFmtId="0" fontId="42" fillId="12" borderId="12" xfId="0" applyFont="1" applyFill="1" applyBorder="1" applyAlignment="1" applyProtection="1">
      <alignment horizontal="center"/>
      <protection hidden="1"/>
    </xf>
    <xf numFmtId="0" fontId="38" fillId="12" borderId="0" xfId="0" applyFont="1" applyFill="1" applyBorder="1" applyAlignment="1" applyProtection="1">
      <alignment/>
      <protection hidden="1"/>
    </xf>
    <xf numFmtId="0" fontId="37" fillId="12" borderId="0" xfId="0" applyFont="1" applyFill="1" applyBorder="1" applyAlignment="1" applyProtection="1">
      <alignment/>
      <protection hidden="1"/>
    </xf>
    <xf numFmtId="0" fontId="41" fillId="12" borderId="14" xfId="0" applyFont="1" applyFill="1" applyBorder="1" applyAlignment="1" applyProtection="1">
      <alignment vertical="center" wrapText="1"/>
      <protection hidden="1"/>
    </xf>
    <xf numFmtId="0" fontId="38" fillId="12" borderId="0" xfId="0" applyFont="1" applyFill="1" applyBorder="1" applyAlignment="1" applyProtection="1">
      <alignment horizontal="center" wrapText="1"/>
      <protection hidden="1"/>
    </xf>
    <xf numFmtId="0" fontId="38" fillId="12" borderId="0" xfId="0" applyFont="1" applyFill="1" applyBorder="1" applyAlignment="1" applyProtection="1">
      <alignment wrapText="1"/>
      <protection hidden="1"/>
    </xf>
    <xf numFmtId="0" fontId="41" fillId="12" borderId="15" xfId="0" applyFont="1" applyFill="1" applyBorder="1" applyAlignment="1" applyProtection="1">
      <alignment vertical="center" wrapText="1"/>
      <protection hidden="1"/>
    </xf>
    <xf numFmtId="0" fontId="41" fillId="12" borderId="0" xfId="0" applyFont="1" applyFill="1" applyBorder="1" applyAlignment="1" applyProtection="1">
      <alignment horizontal="center" vertical="center" wrapText="1"/>
      <protection hidden="1"/>
    </xf>
    <xf numFmtId="10" fontId="41" fillId="12" borderId="0" xfId="20" applyNumberFormat="1" applyFont="1" applyFill="1" applyBorder="1" applyAlignment="1" applyProtection="1">
      <alignment horizontal="center" vertical="center"/>
      <protection hidden="1"/>
    </xf>
    <xf numFmtId="168" fontId="37" fillId="12" borderId="13" xfId="28" applyNumberFormat="1" applyFont="1" applyFill="1" applyBorder="1" applyAlignment="1" applyProtection="1">
      <alignment/>
      <protection hidden="1"/>
    </xf>
    <xf numFmtId="0" fontId="37" fillId="12" borderId="16" xfId="0" applyFont="1" applyFill="1" applyBorder="1" applyProtection="1">
      <protection hidden="1"/>
    </xf>
    <xf numFmtId="0" fontId="37" fillId="12" borderId="17" xfId="0" applyFont="1" applyFill="1" applyBorder="1" applyProtection="1">
      <protection hidden="1"/>
    </xf>
    <xf numFmtId="0" fontId="38" fillId="12" borderId="17" xfId="0" applyFont="1" applyFill="1" applyBorder="1" applyAlignment="1" applyProtection="1">
      <alignment vertical="center" wrapText="1"/>
      <protection hidden="1"/>
    </xf>
    <xf numFmtId="0" fontId="37" fillId="12" borderId="18" xfId="0" applyFont="1" applyFill="1" applyBorder="1" applyProtection="1">
      <protection hidden="1"/>
    </xf>
    <xf numFmtId="0" fontId="37" fillId="12" borderId="0" xfId="0" applyFont="1" applyFill="1" applyAlignment="1" applyProtection="1">
      <alignment horizontal="right" wrapText="1"/>
      <protection hidden="1"/>
    </xf>
    <xf numFmtId="0" fontId="37" fillId="12" borderId="0" xfId="0" applyFont="1" applyFill="1" applyAlignment="1" applyProtection="1">
      <alignment horizontal="center" wrapText="1"/>
      <protection hidden="1"/>
    </xf>
    <xf numFmtId="0" fontId="41" fillId="12" borderId="0" xfId="0" applyFont="1" applyFill="1" applyAlignment="1" applyProtection="1">
      <alignment horizontal="center"/>
      <protection hidden="1"/>
    </xf>
    <xf numFmtId="0" fontId="38" fillId="12" borderId="0" xfId="0" applyFont="1" applyFill="1" applyProtection="1">
      <protection hidden="1"/>
    </xf>
    <xf numFmtId="0" fontId="42" fillId="12" borderId="0" xfId="0" applyFont="1" applyFill="1" applyProtection="1">
      <protection hidden="1"/>
    </xf>
    <xf numFmtId="0" fontId="42" fillId="12" borderId="0" xfId="0" applyFont="1" applyFill="1" applyAlignment="1" applyProtection="1">
      <alignment horizontal="center"/>
      <protection hidden="1"/>
    </xf>
    <xf numFmtId="0" fontId="38" fillId="12" borderId="0" xfId="0" applyFont="1" applyFill="1" applyBorder="1" applyAlignment="1" applyProtection="1">
      <alignment vertical="center"/>
      <protection hidden="1"/>
    </xf>
    <xf numFmtId="0" fontId="37" fillId="12" borderId="0" xfId="0" applyFont="1" applyFill="1" applyBorder="1" applyAlignment="1" applyProtection="1">
      <alignment horizontal="center" vertical="center" wrapText="1"/>
      <protection hidden="1"/>
    </xf>
    <xf numFmtId="0" fontId="41" fillId="12" borderId="0" xfId="0" applyFont="1" applyFill="1" applyAlignment="1" applyProtection="1">
      <alignment horizontal="left" vertical="center" wrapText="1"/>
      <protection hidden="1"/>
    </xf>
    <xf numFmtId="0" fontId="44" fillId="12" borderId="0" xfId="0" applyFont="1" applyFill="1" applyProtection="1">
      <protection hidden="1"/>
    </xf>
    <xf numFmtId="0" fontId="44" fillId="12" borderId="0" xfId="0" applyFont="1" applyFill="1" applyBorder="1" applyAlignment="1" applyProtection="1">
      <alignment horizontal="left" vertical="center" wrapText="1"/>
      <protection hidden="1"/>
    </xf>
    <xf numFmtId="0" fontId="44" fillId="12" borderId="0" xfId="0" applyFont="1" applyFill="1" applyBorder="1" applyAlignment="1" applyProtection="1">
      <alignment vertical="center" wrapText="1"/>
      <protection hidden="1"/>
    </xf>
    <xf numFmtId="0" fontId="44" fillId="12" borderId="0" xfId="0" applyFont="1" applyFill="1" applyAlignment="1" applyProtection="1">
      <alignment horizontal="center"/>
      <protection hidden="1"/>
    </xf>
    <xf numFmtId="0" fontId="44" fillId="12" borderId="0" xfId="0" applyFont="1" applyFill="1" applyBorder="1" applyAlignment="1" applyProtection="1">
      <alignment horizontal="center" vertical="center" wrapText="1"/>
      <protection hidden="1"/>
    </xf>
    <xf numFmtId="0" fontId="44" fillId="12" borderId="0" xfId="0" applyFont="1" applyFill="1" applyBorder="1" applyAlignment="1" applyProtection="1">
      <alignment horizontal="right" vertical="center"/>
      <protection hidden="1"/>
    </xf>
    <xf numFmtId="168" fontId="44" fillId="12" borderId="0" xfId="28" applyNumberFormat="1" applyFont="1" applyFill="1" applyBorder="1" applyAlignment="1" applyProtection="1">
      <alignment horizontal="center" vertical="center"/>
      <protection hidden="1"/>
    </xf>
    <xf numFmtId="169" fontId="44" fillId="12" borderId="0" xfId="28" applyNumberFormat="1" applyFont="1" applyFill="1" applyBorder="1" applyAlignment="1" applyProtection="1">
      <alignment horizontal="center" vertical="center"/>
      <protection hidden="1"/>
    </xf>
    <xf numFmtId="168" fontId="37" fillId="12" borderId="0" xfId="28" applyNumberFormat="1" applyFont="1" applyFill="1" applyAlignment="1" applyProtection="1">
      <alignment horizontal="center"/>
      <protection hidden="1"/>
    </xf>
    <xf numFmtId="168" fontId="44" fillId="12" borderId="0" xfId="28" applyNumberFormat="1" applyFont="1" applyFill="1" applyAlignment="1" applyProtection="1">
      <alignment horizontal="center"/>
      <protection hidden="1"/>
    </xf>
    <xf numFmtId="43" fontId="44" fillId="12" borderId="0" xfId="28" applyFont="1" applyFill="1" applyAlignment="1" applyProtection="1">
      <alignment horizontal="center"/>
      <protection hidden="1"/>
    </xf>
    <xf numFmtId="43" fontId="44" fillId="12" borderId="0" xfId="28" applyFont="1" applyFill="1" applyBorder="1" applyAlignment="1" applyProtection="1">
      <alignment horizontal="center" vertical="center"/>
      <protection hidden="1"/>
    </xf>
    <xf numFmtId="0" fontId="45" fillId="12" borderId="0" xfId="0" applyFont="1" applyFill="1" applyBorder="1" applyAlignment="1" applyProtection="1">
      <alignment vertical="center"/>
      <protection hidden="1"/>
    </xf>
    <xf numFmtId="0" fontId="46" fillId="18" borderId="19" xfId="0" applyFont="1" applyFill="1" applyBorder="1" applyAlignment="1" applyProtection="1">
      <alignment vertical="center" wrapText="1"/>
      <protection hidden="1"/>
    </xf>
    <xf numFmtId="0" fontId="46" fillId="12" borderId="0" xfId="0" applyFont="1" applyFill="1" applyProtection="1">
      <protection hidden="1"/>
    </xf>
    <xf numFmtId="0" fontId="46" fillId="12" borderId="0" xfId="0" applyFont="1" applyFill="1" applyBorder="1" applyAlignment="1" applyProtection="1">
      <alignment horizontal="left" vertical="center" wrapText="1"/>
      <protection hidden="1"/>
    </xf>
    <xf numFmtId="0" fontId="46" fillId="18" borderId="19" xfId="0" applyFont="1" applyFill="1" applyBorder="1" applyAlignment="1">
      <alignment horizontal="center" vertical="center" wrapText="1"/>
    </xf>
    <xf numFmtId="0" fontId="46" fillId="12" borderId="0" xfId="0" applyFont="1" applyFill="1" applyBorder="1" applyAlignment="1" applyProtection="1">
      <alignment vertical="center" wrapText="1"/>
      <protection hidden="1"/>
    </xf>
    <xf numFmtId="0" fontId="46" fillId="18" borderId="19" xfId="0" applyFont="1" applyFill="1" applyBorder="1" applyAlignment="1" applyProtection="1">
      <alignment horizontal="center" vertical="center" wrapText="1"/>
      <protection hidden="1"/>
    </xf>
    <xf numFmtId="0" fontId="46" fillId="12" borderId="0" xfId="0" applyFont="1" applyFill="1" applyAlignment="1" applyProtection="1">
      <alignment horizontal="center"/>
      <protection hidden="1"/>
    </xf>
    <xf numFmtId="0" fontId="46" fillId="12" borderId="0" xfId="0" applyFont="1" applyFill="1" applyBorder="1" applyAlignment="1" applyProtection="1">
      <alignment horizontal="center" vertical="center" wrapText="1"/>
      <protection hidden="1"/>
    </xf>
    <xf numFmtId="0" fontId="46" fillId="12" borderId="0" xfId="0" applyFont="1" applyFill="1" applyBorder="1" applyAlignment="1" applyProtection="1">
      <alignment horizontal="right" vertical="center"/>
      <protection hidden="1"/>
    </xf>
    <xf numFmtId="168" fontId="47" fillId="12" borderId="0" xfId="28" applyNumberFormat="1" applyFont="1" applyFill="1" applyBorder="1" applyAlignment="1" applyProtection="1">
      <alignment horizontal="left"/>
      <protection hidden="1"/>
    </xf>
    <xf numFmtId="169" fontId="48" fillId="12" borderId="0" xfId="28" applyNumberFormat="1" applyFont="1" applyFill="1" applyBorder="1" applyAlignment="1" applyProtection="1">
      <alignment horizontal="center"/>
      <protection hidden="1"/>
    </xf>
    <xf numFmtId="0" fontId="48" fillId="12" borderId="0" xfId="0" applyFont="1" applyFill="1" applyAlignment="1" applyProtection="1">
      <alignment horizontal="center"/>
      <protection hidden="1"/>
    </xf>
    <xf numFmtId="0" fontId="49" fillId="12" borderId="0" xfId="0" applyFont="1" applyFill="1" applyBorder="1" applyAlignment="1">
      <alignment horizontal="center" wrapText="1"/>
    </xf>
    <xf numFmtId="0" fontId="49" fillId="12" borderId="0" xfId="0" applyFont="1" applyFill="1" applyBorder="1" applyAlignment="1">
      <alignment horizontal="right"/>
    </xf>
    <xf numFmtId="0" fontId="49" fillId="12" borderId="0" xfId="0" applyFont="1" applyFill="1" applyBorder="1"/>
    <xf numFmtId="0" fontId="50" fillId="12" borderId="0" xfId="0" applyFont="1" applyFill="1" applyBorder="1"/>
    <xf numFmtId="0" fontId="49" fillId="12" borderId="0" xfId="0" applyFont="1" applyFill="1" applyBorder="1" applyAlignment="1">
      <alignment horizontal="center"/>
    </xf>
    <xf numFmtId="0" fontId="49" fillId="12" borderId="0" xfId="0" applyFont="1" applyFill="1" applyBorder="1" applyAlignment="1">
      <alignment wrapText="1"/>
    </xf>
    <xf numFmtId="0" fontId="52" fillId="12" borderId="0" xfId="0" applyFont="1" applyFill="1" applyBorder="1"/>
    <xf numFmtId="0" fontId="53" fillId="12" borderId="0" xfId="0" applyFont="1" applyFill="1" applyAlignment="1" applyProtection="1">
      <alignment vertical="center" wrapText="1"/>
      <protection hidden="1"/>
    </xf>
    <xf numFmtId="0" fontId="56" fillId="12" borderId="0" xfId="0" applyFont="1" applyFill="1" applyBorder="1" applyAlignment="1">
      <alignment/>
    </xf>
    <xf numFmtId="0" fontId="56" fillId="12" borderId="0" xfId="0" applyFont="1" applyFill="1" applyBorder="1" applyAlignment="1">
      <alignment wrapText="1"/>
    </xf>
    <xf numFmtId="0" fontId="57" fillId="12" borderId="0" xfId="0" applyFont="1" applyFill="1" applyBorder="1" applyAlignment="1">
      <alignment wrapText="1"/>
    </xf>
    <xf numFmtId="0" fontId="58" fillId="12" borderId="0" xfId="0" applyFont="1" applyFill="1" applyBorder="1" applyAlignment="1" applyProtection="1">
      <alignment vertical="top" wrapText="1"/>
      <protection hidden="1"/>
    </xf>
    <xf numFmtId="0" fontId="49" fillId="12" borderId="0" xfId="0" applyFont="1" applyFill="1" applyBorder="1" applyAlignment="1">
      <alignment horizontal="left"/>
    </xf>
    <xf numFmtId="0" fontId="61" fillId="12" borderId="0" xfId="0" applyFont="1" applyFill="1" applyBorder="1" applyAlignment="1" applyProtection="1">
      <alignment horizontal="left" wrapText="1"/>
      <protection hidden="1"/>
    </xf>
    <xf numFmtId="0" fontId="61" fillId="12" borderId="0" xfId="0" applyFont="1" applyFill="1" applyBorder="1" applyAlignment="1" applyProtection="1">
      <alignment wrapText="1"/>
      <protection hidden="1"/>
    </xf>
    <xf numFmtId="0" fontId="56" fillId="12" borderId="0" xfId="0" applyFont="1" applyFill="1" applyBorder="1" applyAlignment="1">
      <alignment horizontal="center"/>
    </xf>
    <xf numFmtId="0" fontId="62" fillId="12" borderId="0" xfId="0" applyFont="1" applyFill="1" applyBorder="1" applyAlignment="1">
      <alignment horizontal="left"/>
    </xf>
    <xf numFmtId="0" fontId="41" fillId="12" borderId="0" xfId="0" applyFont="1" applyFill="1" applyBorder="1" applyAlignment="1" applyProtection="1">
      <alignment vertical="center" wrapText="1"/>
      <protection hidden="1"/>
    </xf>
    <xf numFmtId="0" fontId="63" fillId="12" borderId="0" xfId="21" applyFont="1" applyFill="1" applyBorder="1" applyAlignment="1" applyProtection="1">
      <alignment vertical="center" wrapText="1"/>
      <protection hidden="1"/>
    </xf>
    <xf numFmtId="0" fontId="63" fillId="12" borderId="0" xfId="21" applyFont="1" applyFill="1" applyBorder="1" applyAlignment="1" applyProtection="1">
      <alignment horizontal="center" vertical="center" wrapText="1"/>
      <protection hidden="1"/>
    </xf>
    <xf numFmtId="0" fontId="40" fillId="12" borderId="0" xfId="21" applyFont="1" applyFill="1" applyBorder="1" applyAlignment="1" applyProtection="1">
      <alignment horizontal="center" vertical="center" wrapText="1"/>
      <protection hidden="1"/>
    </xf>
    <xf numFmtId="0" fontId="41" fillId="12" borderId="0" xfId="0" applyFont="1" applyFill="1" applyAlignment="1" applyProtection="1">
      <alignment horizontal="left" vertical="center"/>
      <protection hidden="1"/>
    </xf>
    <xf numFmtId="0" fontId="39" fillId="12" borderId="0" xfId="21" applyFont="1" applyFill="1" applyAlignment="1" applyProtection="1">
      <alignment horizontal="center" vertical="center" wrapText="1"/>
      <protection hidden="1"/>
    </xf>
    <xf numFmtId="0" fontId="41" fillId="12" borderId="0" xfId="21" applyFont="1" applyFill="1" applyBorder="1" applyAlignment="1" applyProtection="1">
      <alignment vertical="center"/>
      <protection hidden="1"/>
    </xf>
    <xf numFmtId="0" fontId="37" fillId="12" borderId="0" xfId="21" applyFont="1" applyFill="1" applyBorder="1" applyAlignment="1" applyProtection="1">
      <alignment vertical="center" wrapText="1"/>
      <protection hidden="1"/>
    </xf>
    <xf numFmtId="0" fontId="37" fillId="12" borderId="0" xfId="21" applyFont="1" applyFill="1" applyAlignment="1" applyProtection="1">
      <alignment vertical="center" wrapText="1"/>
      <protection hidden="1"/>
    </xf>
    <xf numFmtId="0" fontId="37" fillId="12" borderId="0" xfId="21" applyFont="1" applyFill="1" applyAlignment="1" applyProtection="1">
      <alignment horizontal="center" vertical="center" wrapText="1"/>
      <protection hidden="1"/>
    </xf>
    <xf numFmtId="0" fontId="39" fillId="12" borderId="0" xfId="21" applyFont="1" applyFill="1" applyBorder="1" applyAlignment="1" applyProtection="1">
      <alignment horizontal="center" vertical="center" wrapText="1"/>
      <protection hidden="1"/>
    </xf>
    <xf numFmtId="0" fontId="37" fillId="12" borderId="0" xfId="0" applyFont="1" applyFill="1" applyBorder="1" applyAlignment="1" applyProtection="1">
      <alignment wrapText="1"/>
      <protection hidden="1"/>
    </xf>
    <xf numFmtId="0" fontId="41" fillId="12" borderId="0" xfId="0" applyFont="1" applyFill="1" applyBorder="1" applyAlignment="1" applyProtection="1">
      <alignment horizontal="right" vertical="center"/>
      <protection hidden="1"/>
    </xf>
    <xf numFmtId="49" fontId="41" fillId="12" borderId="0" xfId="0" applyNumberFormat="1" applyFont="1" applyFill="1" applyBorder="1" applyAlignment="1" applyProtection="1">
      <alignment vertical="center"/>
      <protection hidden="1"/>
    </xf>
    <xf numFmtId="0" fontId="41" fillId="12" borderId="0" xfId="0" applyNumberFormat="1" applyFont="1" applyFill="1" applyBorder="1" applyAlignment="1" applyProtection="1">
      <alignment vertical="center"/>
      <protection hidden="1"/>
    </xf>
    <xf numFmtId="0" fontId="42" fillId="12" borderId="0" xfId="0" applyFont="1" applyFill="1" applyBorder="1" applyAlignment="1" applyProtection="1">
      <alignment horizontal="left" vertical="center"/>
      <protection hidden="1"/>
    </xf>
    <xf numFmtId="0" fontId="42" fillId="12" borderId="0" xfId="0" applyFont="1" applyFill="1" applyBorder="1" applyAlignment="1" applyProtection="1">
      <alignment vertical="center"/>
      <protection hidden="1"/>
    </xf>
    <xf numFmtId="0" fontId="42" fillId="12" borderId="0" xfId="0" applyFont="1" applyFill="1" applyBorder="1" applyAlignment="1" applyProtection="1">
      <alignment wrapText="1"/>
      <protection hidden="1"/>
    </xf>
    <xf numFmtId="49" fontId="37" fillId="12" borderId="0" xfId="0" applyNumberFormat="1" applyFont="1" applyFill="1" applyBorder="1" applyProtection="1">
      <protection hidden="1"/>
    </xf>
    <xf numFmtId="49" fontId="41" fillId="12" borderId="0" xfId="0" applyNumberFormat="1" applyFont="1" applyFill="1" applyBorder="1" applyAlignment="1" applyProtection="1">
      <alignment horizontal="center" vertical="center"/>
      <protection hidden="1"/>
    </xf>
    <xf numFmtId="0" fontId="42" fillId="12" borderId="0" xfId="0" applyFont="1" applyFill="1" applyAlignment="1" applyProtection="1">
      <alignment/>
      <protection hidden="1"/>
    </xf>
    <xf numFmtId="0" fontId="44" fillId="12" borderId="0" xfId="21" applyFont="1" applyFill="1" applyAlignment="1" applyProtection="1">
      <alignment vertical="center" wrapText="1"/>
      <protection hidden="1"/>
    </xf>
    <xf numFmtId="168" fontId="44" fillId="12" borderId="0" xfId="28" applyNumberFormat="1" applyFont="1" applyFill="1" applyBorder="1" applyAlignment="1" applyProtection="1">
      <alignment horizontal="right" vertical="center"/>
      <protection hidden="1"/>
    </xf>
    <xf numFmtId="169" fontId="44" fillId="12" borderId="0" xfId="28" applyNumberFormat="1" applyFont="1" applyFill="1" applyBorder="1" applyAlignment="1" applyProtection="1">
      <alignment horizontal="right" vertical="center"/>
      <protection hidden="1"/>
    </xf>
    <xf numFmtId="0" fontId="44" fillId="12" borderId="0" xfId="0" applyFont="1" applyFill="1" applyBorder="1" applyAlignment="1" applyProtection="1">
      <alignment horizontal="center" vertical="center"/>
      <protection hidden="1"/>
    </xf>
    <xf numFmtId="168" fontId="37" fillId="12" borderId="0" xfId="0" applyNumberFormat="1" applyFont="1" applyFill="1" applyAlignment="1" applyProtection="1">
      <alignment horizontal="center"/>
      <protection hidden="1"/>
    </xf>
    <xf numFmtId="0" fontId="41" fillId="12" borderId="0" xfId="0" applyFont="1" applyFill="1" applyBorder="1" applyAlignment="1" applyProtection="1">
      <alignment horizontal="left" vertical="center" wrapText="1"/>
      <protection hidden="1"/>
    </xf>
    <xf numFmtId="0" fontId="37" fillId="12" borderId="0" xfId="0" applyFont="1" applyFill="1" applyAlignment="1" applyProtection="1">
      <alignment wrapText="1"/>
      <protection hidden="1"/>
    </xf>
    <xf numFmtId="0" fontId="39" fillId="12" borderId="20" xfId="21" applyFont="1" applyFill="1" applyBorder="1" applyAlignment="1" applyProtection="1">
      <alignment horizontal="center" vertical="center" wrapText="1"/>
      <protection hidden="1"/>
    </xf>
    <xf numFmtId="0" fontId="39" fillId="12" borderId="21" xfId="21" applyFont="1" applyFill="1" applyBorder="1" applyAlignment="1" applyProtection="1">
      <alignment horizontal="center" vertical="center" wrapText="1"/>
      <protection hidden="1"/>
    </xf>
    <xf numFmtId="0" fontId="39" fillId="12" borderId="22" xfId="21" applyFont="1" applyFill="1" applyBorder="1" applyAlignment="1" applyProtection="1">
      <alignment horizontal="center" vertical="center" wrapText="1"/>
      <protection hidden="1"/>
    </xf>
    <xf numFmtId="0" fontId="41" fillId="12" borderId="23" xfId="21" applyFont="1" applyFill="1" applyBorder="1" applyAlignment="1" applyProtection="1">
      <alignment vertical="center"/>
      <protection hidden="1"/>
    </xf>
    <xf numFmtId="0" fontId="37" fillId="12" borderId="24" xfId="21" applyFont="1" applyFill="1" applyBorder="1" applyAlignment="1" applyProtection="1">
      <alignment vertical="center" wrapText="1"/>
      <protection hidden="1"/>
    </xf>
    <xf numFmtId="0" fontId="39" fillId="12" borderId="23" xfId="21" applyFont="1" applyFill="1" applyBorder="1" applyAlignment="1" applyProtection="1">
      <alignment horizontal="center" vertical="center" wrapText="1"/>
      <protection hidden="1"/>
    </xf>
    <xf numFmtId="0" fontId="39" fillId="12" borderId="24" xfId="21" applyFont="1" applyFill="1" applyBorder="1" applyAlignment="1" applyProtection="1">
      <alignment horizontal="center" vertical="center" wrapText="1"/>
      <protection hidden="1"/>
    </xf>
    <xf numFmtId="0" fontId="37" fillId="12" borderId="24" xfId="0" applyFont="1" applyFill="1" applyBorder="1" applyProtection="1">
      <protection hidden="1"/>
    </xf>
    <xf numFmtId="0" fontId="37" fillId="12" borderId="23" xfId="0" applyFont="1" applyFill="1" applyBorder="1" applyProtection="1">
      <protection hidden="1"/>
    </xf>
    <xf numFmtId="0" fontId="41" fillId="12" borderId="24" xfId="0" applyFont="1" applyFill="1" applyBorder="1" applyAlignment="1" applyProtection="1">
      <alignment vertical="center"/>
      <protection hidden="1"/>
    </xf>
    <xf numFmtId="0" fontId="41" fillId="12" borderId="23" xfId="0" applyFont="1" applyFill="1" applyBorder="1" applyAlignment="1" applyProtection="1">
      <alignment vertical="center"/>
      <protection hidden="1"/>
    </xf>
    <xf numFmtId="0" fontId="37" fillId="12" borderId="23" xfId="0" applyFont="1" applyFill="1" applyBorder="1" applyAlignment="1" applyProtection="1">
      <alignment/>
      <protection hidden="1"/>
    </xf>
    <xf numFmtId="0" fontId="42" fillId="12" borderId="25" xfId="0" applyFont="1" applyFill="1" applyBorder="1" applyAlignment="1" applyProtection="1">
      <alignment vertical="center"/>
      <protection hidden="1"/>
    </xf>
    <xf numFmtId="0" fontId="42" fillId="12" borderId="26" xfId="0" applyFont="1" applyFill="1" applyBorder="1" applyAlignment="1" applyProtection="1">
      <alignment vertical="center"/>
      <protection hidden="1"/>
    </xf>
    <xf numFmtId="0" fontId="42" fillId="12" borderId="26" xfId="0" applyFont="1" applyFill="1" applyBorder="1" applyAlignment="1" applyProtection="1">
      <alignment wrapText="1"/>
      <protection hidden="1"/>
    </xf>
    <xf numFmtId="0" fontId="42" fillId="12" borderId="26" xfId="0" applyFont="1" applyFill="1" applyBorder="1" applyAlignment="1" applyProtection="1">
      <alignment/>
      <protection hidden="1"/>
    </xf>
    <xf numFmtId="0" fontId="41" fillId="12" borderId="26" xfId="0" applyFont="1" applyFill="1" applyBorder="1" applyAlignment="1" applyProtection="1">
      <alignment horizontal="right" vertical="center"/>
      <protection hidden="1"/>
    </xf>
    <xf numFmtId="0" fontId="41" fillId="12" borderId="26" xfId="0" applyFont="1" applyFill="1" applyBorder="1" applyAlignment="1" applyProtection="1">
      <alignment vertical="center"/>
      <protection hidden="1"/>
    </xf>
    <xf numFmtId="49" fontId="41" fillId="12" borderId="26" xfId="0" applyNumberFormat="1" applyFont="1" applyFill="1" applyBorder="1" applyAlignment="1" applyProtection="1">
      <alignment vertical="center"/>
      <protection hidden="1"/>
    </xf>
    <xf numFmtId="49" fontId="37" fillId="12" borderId="26" xfId="0" applyNumberFormat="1" applyFont="1" applyFill="1" applyBorder="1" applyProtection="1">
      <protection hidden="1"/>
    </xf>
    <xf numFmtId="0" fontId="42" fillId="12" borderId="27" xfId="0" applyFont="1" applyFill="1" applyBorder="1" applyAlignment="1" applyProtection="1">
      <alignment/>
      <protection hidden="1"/>
    </xf>
    <xf numFmtId="0" fontId="46" fillId="12" borderId="0" xfId="0" applyFont="1" applyFill="1" applyAlignment="1" applyProtection="1">
      <alignment vertical="center"/>
      <protection hidden="1"/>
    </xf>
    <xf numFmtId="0" fontId="46" fillId="12" borderId="0" xfId="21" applyFont="1" applyFill="1" applyAlignment="1" applyProtection="1">
      <alignment vertical="center" wrapText="1"/>
      <protection hidden="1"/>
    </xf>
    <xf numFmtId="0" fontId="46" fillId="18" borderId="0" xfId="0" applyFont="1" applyFill="1" applyBorder="1" applyAlignment="1" applyProtection="1">
      <alignment horizontal="center" vertical="center" wrapText="1"/>
      <protection hidden="1"/>
    </xf>
    <xf numFmtId="0" fontId="46" fillId="18" borderId="0" xfId="0" applyFont="1" applyFill="1" applyBorder="1" applyAlignment="1" applyProtection="1">
      <alignment horizontal="left" vertical="center" wrapText="1"/>
      <protection hidden="1"/>
    </xf>
    <xf numFmtId="0" fontId="39" fillId="12" borderId="0" xfId="0" applyFont="1" applyFill="1" applyBorder="1" applyAlignment="1" applyProtection="1">
      <alignment horizontal="center" vertical="top" wrapText="1"/>
      <protection hidden="1"/>
    </xf>
    <xf numFmtId="0" fontId="39" fillId="12" borderId="0" xfId="0" applyFont="1" applyFill="1" applyBorder="1" applyAlignment="1" applyProtection="1">
      <alignment horizontal="center" vertical="center" wrapText="1"/>
      <protection hidden="1"/>
    </xf>
    <xf numFmtId="0" fontId="44" fillId="12" borderId="0" xfId="0" applyFont="1" applyFill="1" applyBorder="1" applyProtection="1">
      <protection hidden="1"/>
    </xf>
    <xf numFmtId="0" fontId="38" fillId="12" borderId="0" xfId="22" applyFont="1" applyFill="1" applyBorder="1" applyAlignment="1" applyProtection="1">
      <alignment vertical="top" wrapText="1"/>
      <protection hidden="1" locked="0"/>
    </xf>
    <xf numFmtId="168" fontId="37" fillId="12" borderId="0" xfId="0" applyNumberFormat="1" applyFont="1" applyFill="1" applyBorder="1" applyProtection="1">
      <protection hidden="1"/>
    </xf>
    <xf numFmtId="0" fontId="37" fillId="12" borderId="0" xfId="0" applyFont="1" applyFill="1" applyBorder="1" applyAlignment="1" applyProtection="1">
      <alignment vertical="center"/>
      <protection hidden="1"/>
    </xf>
    <xf numFmtId="0" fontId="37" fillId="12" borderId="0" xfId="0" applyFont="1" applyFill="1" applyBorder="1" applyAlignment="1" applyProtection="1">
      <alignment horizontal="right" vertical="center"/>
      <protection hidden="1"/>
    </xf>
    <xf numFmtId="0" fontId="41" fillId="12" borderId="0" xfId="0" applyFont="1" applyFill="1" applyBorder="1" applyAlignment="1" applyProtection="1">
      <alignment vertical="top" wrapText="1"/>
      <protection hidden="1"/>
    </xf>
    <xf numFmtId="0" fontId="37" fillId="12" borderId="20" xfId="0" applyFont="1" applyFill="1" applyBorder="1" applyAlignment="1" applyProtection="1">
      <alignment/>
      <protection hidden="1"/>
    </xf>
    <xf numFmtId="0" fontId="37" fillId="12" borderId="21" xfId="0" applyFont="1" applyFill="1" applyBorder="1" applyAlignment="1" applyProtection="1">
      <alignment/>
      <protection hidden="1"/>
    </xf>
    <xf numFmtId="0" fontId="38" fillId="12" borderId="21" xfId="0" applyFont="1" applyFill="1" applyBorder="1" applyAlignment="1" applyProtection="1">
      <alignment vertical="center" wrapText="1"/>
      <protection hidden="1"/>
    </xf>
    <xf numFmtId="0" fontId="37" fillId="12" borderId="21" xfId="0" applyFont="1" applyFill="1" applyBorder="1" applyProtection="1">
      <protection hidden="1"/>
    </xf>
    <xf numFmtId="0" fontId="37" fillId="12" borderId="24" xfId="0" applyFont="1" applyFill="1" applyBorder="1" applyAlignment="1" applyProtection="1">
      <alignment/>
      <protection hidden="1"/>
    </xf>
    <xf numFmtId="0" fontId="38" fillId="12" borderId="24" xfId="0" applyFont="1" applyFill="1" applyBorder="1" applyAlignment="1" applyProtection="1">
      <alignment vertical="center"/>
      <protection hidden="1"/>
    </xf>
    <xf numFmtId="0" fontId="37" fillId="12" borderId="25" xfId="0" applyFont="1" applyFill="1" applyBorder="1" applyProtection="1">
      <protection hidden="1"/>
    </xf>
    <xf numFmtId="0" fontId="37" fillId="12" borderId="26" xfId="0" applyFont="1" applyFill="1" applyBorder="1" applyProtection="1">
      <protection hidden="1"/>
    </xf>
    <xf numFmtId="0" fontId="37" fillId="12" borderId="27" xfId="0" applyFont="1" applyFill="1" applyBorder="1" applyProtection="1">
      <protection hidden="1"/>
    </xf>
    <xf numFmtId="0" fontId="37" fillId="12" borderId="20" xfId="0" applyFont="1" applyFill="1" applyBorder="1" applyAlignment="1" applyProtection="1">
      <alignment horizontal="center" vertical="center" wrapText="1"/>
      <protection hidden="1"/>
    </xf>
    <xf numFmtId="0" fontId="37" fillId="12" borderId="21" xfId="0" applyFont="1" applyFill="1" applyBorder="1" applyAlignment="1" applyProtection="1">
      <alignment horizontal="center" vertical="center" wrapText="1"/>
      <protection hidden="1"/>
    </xf>
    <xf numFmtId="0" fontId="37" fillId="12" borderId="24" xfId="0" applyFont="1" applyFill="1" applyBorder="1" applyAlignment="1" applyProtection="1">
      <alignment vertical="center"/>
      <protection hidden="1"/>
    </xf>
    <xf numFmtId="0" fontId="37" fillId="12" borderId="22" xfId="0" applyFont="1" applyFill="1" applyBorder="1" applyAlignment="1" applyProtection="1">
      <alignment horizontal="center" wrapText="1"/>
      <protection hidden="1"/>
    </xf>
    <xf numFmtId="0" fontId="37" fillId="12" borderId="23" xfId="0" applyFont="1" applyFill="1" applyBorder="1" applyAlignment="1" applyProtection="1">
      <alignment horizontal="center" wrapText="1"/>
      <protection hidden="1"/>
    </xf>
    <xf numFmtId="0" fontId="44" fillId="12" borderId="23" xfId="0" applyFont="1" applyFill="1" applyBorder="1" applyAlignment="1" applyProtection="1">
      <alignment horizontal="center" vertical="center" wrapText="1"/>
      <protection hidden="1"/>
    </xf>
    <xf numFmtId="0" fontId="38" fillId="12" borderId="22" xfId="0" applyFont="1" applyFill="1" applyBorder="1" applyAlignment="1" applyProtection="1">
      <alignment horizontal="center" vertical="center" wrapText="1"/>
      <protection hidden="1"/>
    </xf>
    <xf numFmtId="0" fontId="38" fillId="12" borderId="23" xfId="0" applyFont="1" applyFill="1" applyBorder="1" applyAlignment="1" applyProtection="1">
      <alignment horizontal="center" vertical="center" wrapText="1"/>
      <protection hidden="1"/>
    </xf>
    <xf numFmtId="168" fontId="37" fillId="13" borderId="19" xfId="28" applyNumberFormat="1" applyFont="1" applyFill="1" applyBorder="1" applyAlignment="1" applyProtection="1">
      <alignment horizontal="right" vertical="center"/>
      <protection hidden="1"/>
    </xf>
    <xf numFmtId="168" fontId="37" fillId="19" borderId="19" xfId="28" applyNumberFormat="1" applyFont="1" applyFill="1" applyBorder="1" applyAlignment="1" applyProtection="1">
      <alignment vertical="center" wrapText="1"/>
      <protection hidden="1" locked="0"/>
    </xf>
    <xf numFmtId="168" fontId="48" fillId="13" borderId="19" xfId="28" applyNumberFormat="1" applyFont="1" applyFill="1" applyBorder="1" applyAlignment="1" applyProtection="1">
      <alignment horizontal="right" vertical="center"/>
      <protection hidden="1"/>
    </xf>
    <xf numFmtId="168" fontId="48" fillId="19" borderId="19" xfId="28" applyNumberFormat="1" applyFont="1" applyFill="1" applyBorder="1" applyAlignment="1" applyProtection="1">
      <alignment vertical="center" wrapText="1"/>
      <protection hidden="1" locked="0"/>
    </xf>
    <xf numFmtId="0" fontId="41" fillId="12" borderId="0" xfId="0" applyFont="1" applyFill="1" applyBorder="1" applyAlignment="1">
      <alignment horizontal="center" wrapText="1"/>
    </xf>
    <xf numFmtId="0" fontId="48" fillId="12" borderId="0" xfId="0" applyFont="1" applyFill="1" applyBorder="1" applyAlignment="1" applyProtection="1">
      <alignment horizontal="center" vertical="center" wrapText="1"/>
      <protection hidden="1"/>
    </xf>
    <xf numFmtId="0" fontId="65" fillId="12" borderId="0" xfId="0" applyFont="1" applyFill="1" applyBorder="1" applyAlignment="1" applyProtection="1">
      <alignment horizontal="center" vertical="center" wrapText="1"/>
      <protection hidden="1"/>
    </xf>
    <xf numFmtId="0" fontId="56" fillId="12" borderId="0" xfId="0" applyFont="1" applyFill="1" applyBorder="1" applyAlignment="1">
      <alignment horizontal="center" vertical="center" wrapText="1"/>
    </xf>
    <xf numFmtId="0" fontId="51" fillId="12" borderId="0" xfId="0" applyFont="1" applyFill="1" applyBorder="1" applyAlignment="1">
      <alignment horizontal="center" vertical="center"/>
    </xf>
    <xf numFmtId="0" fontId="56" fillId="12" borderId="0" xfId="0" applyFont="1" applyFill="1" applyBorder="1" applyAlignment="1">
      <alignment vertical="center" wrapText="1"/>
    </xf>
    <xf numFmtId="0" fontId="37" fillId="12" borderId="0" xfId="22" applyFont="1" applyFill="1" applyBorder="1" applyAlignment="1">
      <alignment horizontal="right"/>
    </xf>
    <xf numFmtId="0" fontId="67" fillId="12" borderId="0" xfId="0" applyFont="1" applyFill="1" applyBorder="1" applyAlignment="1">
      <alignment horizontal="center"/>
    </xf>
    <xf numFmtId="0" fontId="49" fillId="12" borderId="0" xfId="0" applyFont="1" applyFill="1" applyBorder="1" applyAlignment="1" applyProtection="1">
      <alignment horizontal="center" wrapText="1"/>
      <protection hidden="1"/>
    </xf>
    <xf numFmtId="0" fontId="49" fillId="12" borderId="0" xfId="0" applyFont="1" applyFill="1" applyBorder="1" applyAlignment="1" applyProtection="1">
      <alignment horizontal="right"/>
      <protection hidden="1"/>
    </xf>
    <xf numFmtId="0" fontId="50" fillId="12" borderId="0" xfId="0" applyFont="1" applyFill="1" applyBorder="1" applyProtection="1">
      <protection hidden="1"/>
    </xf>
    <xf numFmtId="0" fontId="49" fillId="12" borderId="0" xfId="0" applyFont="1" applyFill="1" applyBorder="1" applyProtection="1">
      <protection hidden="1"/>
    </xf>
    <xf numFmtId="0" fontId="49" fillId="12" borderId="0" xfId="0" applyFont="1" applyFill="1" applyBorder="1" applyAlignment="1" applyProtection="1">
      <alignment horizontal="center"/>
      <protection hidden="1"/>
    </xf>
    <xf numFmtId="0" fontId="39" fillId="12" borderId="0" xfId="0" applyFont="1" applyFill="1" applyBorder="1" applyAlignment="1" applyProtection="1">
      <alignment vertical="top" wrapText="1"/>
      <protection hidden="1"/>
    </xf>
    <xf numFmtId="0" fontId="43" fillId="12" borderId="0" xfId="0" applyFont="1" applyFill="1" applyBorder="1" applyAlignment="1" applyProtection="1">
      <alignment vertical="top" wrapText="1"/>
      <protection hidden="1"/>
    </xf>
    <xf numFmtId="0" fontId="51" fillId="12" borderId="0" xfId="0" applyFont="1" applyFill="1" applyBorder="1" applyAlignment="1" applyProtection="1">
      <alignment vertical="top" wrapText="1"/>
      <protection hidden="1"/>
    </xf>
    <xf numFmtId="0" fontId="55" fillId="12" borderId="0" xfId="0" applyFont="1" applyFill="1" applyBorder="1" applyAlignment="1" applyProtection="1">
      <alignment vertical="center"/>
      <protection hidden="1"/>
    </xf>
    <xf numFmtId="0" fontId="51" fillId="12" borderId="0" xfId="0" applyFont="1" applyFill="1" applyBorder="1" applyAlignment="1" applyProtection="1">
      <alignment horizontal="center" vertical="center"/>
      <protection hidden="1"/>
    </xf>
    <xf numFmtId="0" fontId="54" fillId="12" borderId="0" xfId="0" applyFont="1" applyFill="1" applyBorder="1" applyAlignment="1" applyProtection="1">
      <alignment vertical="center" wrapText="1"/>
      <protection hidden="1"/>
    </xf>
    <xf numFmtId="0" fontId="62" fillId="12" borderId="0" xfId="0" applyFont="1" applyFill="1" applyBorder="1" applyAlignment="1" applyProtection="1">
      <alignment/>
      <protection hidden="1"/>
    </xf>
    <xf numFmtId="0" fontId="59" fillId="12" borderId="0" xfId="0" applyFont="1" applyFill="1" applyBorder="1" applyAlignment="1" applyProtection="1">
      <alignment horizontal="center"/>
      <protection hidden="1"/>
    </xf>
    <xf numFmtId="0" fontId="60" fillId="12" borderId="0" xfId="0" applyFont="1" applyFill="1" applyBorder="1" applyAlignment="1" applyProtection="1">
      <alignment/>
      <protection hidden="1"/>
    </xf>
    <xf numFmtId="0" fontId="62" fillId="12" borderId="0" xfId="0" applyFont="1" applyFill="1" applyBorder="1" applyAlignment="1" applyProtection="1">
      <alignment horizontal="left"/>
      <protection hidden="1"/>
    </xf>
    <xf numFmtId="0" fontId="61" fillId="12" borderId="0" xfId="0" applyFont="1" applyFill="1" applyBorder="1" applyAlignment="1" applyProtection="1">
      <alignment horizontal="left"/>
      <protection hidden="1"/>
    </xf>
    <xf numFmtId="0" fontId="69" fillId="12" borderId="0" xfId="0" applyFont="1" applyFill="1" applyBorder="1" applyAlignment="1" applyProtection="1">
      <alignment horizontal="left"/>
      <protection hidden="1"/>
    </xf>
    <xf numFmtId="0" fontId="37" fillId="12" borderId="0" xfId="0" applyFont="1" applyFill="1" applyBorder="1" applyAlignment="1" applyProtection="1">
      <alignment horizontal="center"/>
      <protection hidden="1"/>
    </xf>
    <xf numFmtId="0" fontId="37" fillId="12" borderId="0" xfId="0" applyFont="1" applyFill="1" applyBorder="1" applyAlignment="1" applyProtection="1">
      <alignment horizontal="center" vertical="center" wrapText="1"/>
      <protection hidden="1"/>
    </xf>
    <xf numFmtId="0" fontId="37" fillId="12" borderId="0" xfId="0" applyFont="1" applyFill="1" applyBorder="1" applyAlignment="1" applyProtection="1">
      <alignment horizontal="center"/>
      <protection hidden="1"/>
    </xf>
    <xf numFmtId="0" fontId="41" fillId="12" borderId="0" xfId="0" applyFont="1" applyFill="1" applyAlignment="1" applyProtection="1">
      <alignment vertical="center" wrapText="1"/>
      <protection hidden="1"/>
    </xf>
    <xf numFmtId="166" fontId="19" fillId="0" borderId="0" xfId="0" applyNumberFormat="1" applyFont="1" applyFill="1" applyBorder="1" applyAlignment="1">
      <alignment horizontal="right" wrapText="1" readingOrder="1"/>
    </xf>
    <xf numFmtId="0" fontId="19" fillId="0" borderId="0" xfId="0" applyNumberFormat="1" applyFont="1" applyFill="1" applyBorder="1" applyAlignment="1">
      <alignment horizontal="right" wrapText="1" readingOrder="1"/>
    </xf>
    <xf numFmtId="0" fontId="14" fillId="0" borderId="0" xfId="0" applyFont="1" applyBorder="1" applyAlignment="1" applyProtection="1">
      <alignment horizontal="right"/>
      <protection hidden="1"/>
    </xf>
    <xf numFmtId="0" fontId="37" fillId="12" borderId="0" xfId="0" applyFont="1" applyFill="1" applyBorder="1" applyAlignment="1" applyProtection="1">
      <alignment horizontal="center"/>
      <protection hidden="1"/>
    </xf>
    <xf numFmtId="0" fontId="37" fillId="12" borderId="0" xfId="0" applyFont="1" applyFill="1" applyBorder="1" applyAlignment="1" applyProtection="1">
      <alignment horizontal="center"/>
      <protection hidden="1"/>
    </xf>
    <xf numFmtId="0" fontId="37" fillId="12" borderId="0" xfId="0" applyFont="1" applyFill="1" applyBorder="1" applyAlignment="1" applyProtection="1">
      <alignment horizontal="center" vertical="center" wrapText="1"/>
      <protection hidden="1"/>
    </xf>
    <xf numFmtId="0" fontId="13" fillId="20" borderId="0" xfId="0" applyFont="1" applyFill="1" applyBorder="1"/>
    <xf numFmtId="0" fontId="64" fillId="12" borderId="0" xfId="0" applyFont="1" applyFill="1" applyBorder="1" applyAlignment="1" applyProtection="1">
      <alignment horizontal="center" vertical="top" wrapText="1"/>
      <protection hidden="1"/>
    </xf>
    <xf numFmtId="0" fontId="37" fillId="12" borderId="0" xfId="0" applyFont="1" applyFill="1" applyBorder="1" applyAlignment="1" applyProtection="1">
      <alignment horizontal="center"/>
      <protection hidden="1"/>
    </xf>
    <xf numFmtId="0" fontId="37" fillId="12" borderId="0" xfId="0" applyFont="1" applyFill="1" applyBorder="1" applyAlignment="1" applyProtection="1">
      <alignment horizontal="center" vertical="center" wrapText="1"/>
      <protection hidden="1"/>
    </xf>
    <xf numFmtId="168" fontId="44" fillId="12" borderId="0" xfId="28" applyNumberFormat="1" applyFont="1" applyFill="1" applyBorder="1" applyAlignment="1" applyProtection="1">
      <alignment horizontal="right" vertical="center"/>
      <protection hidden="1"/>
    </xf>
    <xf numFmtId="0" fontId="14" fillId="7" borderId="0" xfId="0" applyFont="1" applyFill="1" applyBorder="1" applyAlignment="1" applyProtection="1">
      <alignment horizontal="center" vertical="top" wrapText="1"/>
      <protection hidden="1"/>
    </xf>
    <xf numFmtId="0" fontId="16" fillId="7" borderId="0" xfId="0" applyFont="1" applyFill="1" applyAlignment="1" applyProtection="1">
      <alignment horizontal="center" vertical="top" wrapText="1"/>
      <protection hidden="1"/>
    </xf>
    <xf numFmtId="49" fontId="14" fillId="0" borderId="0" xfId="0" applyNumberFormat="1" applyFont="1" applyFill="1" applyAlignment="1" applyProtection="1">
      <alignment horizontal="center" vertical="top" wrapText="1"/>
      <protection hidden="1"/>
    </xf>
    <xf numFmtId="0" fontId="19" fillId="0" borderId="0" xfId="0" applyNumberFormat="1" applyFont="1" applyFill="1" applyBorder="1" applyAlignment="1">
      <alignment vertical="center" readingOrder="1"/>
    </xf>
    <xf numFmtId="49" fontId="14" fillId="0" borderId="0" xfId="0" applyNumberFormat="1" applyFont="1" applyFill="1" applyProtection="1">
      <protection hidden="1"/>
    </xf>
    <xf numFmtId="0" fontId="14" fillId="0" borderId="0" xfId="0" applyFont="1" applyFill="1" applyProtection="1">
      <protection hidden="1"/>
    </xf>
    <xf numFmtId="0" fontId="14" fillId="7" borderId="0" xfId="0" applyFont="1" applyFill="1" applyAlignment="1" applyProtection="1">
      <alignment horizontal="center" vertical="top" wrapText="1"/>
      <protection hidden="1"/>
    </xf>
    <xf numFmtId="0" fontId="15" fillId="7" borderId="0" xfId="0" applyFont="1" applyFill="1" applyAlignment="1" applyProtection="1">
      <alignment horizontal="center" vertical="top" wrapText="1"/>
      <protection hidden="1"/>
    </xf>
    <xf numFmtId="167" fontId="19" fillId="0" borderId="2" xfId="0" applyNumberFormat="1" applyFont="1" applyFill="1" applyBorder="1" applyAlignment="1">
      <alignment wrapText="1" readingOrder="1"/>
    </xf>
    <xf numFmtId="167" fontId="19" fillId="0" borderId="2" xfId="0" applyNumberFormat="1" applyFont="1" applyFill="1" applyBorder="1" applyAlignment="1">
      <alignment horizontal="right" wrapText="1" readingOrder="1"/>
    </xf>
    <xf numFmtId="0" fontId="19" fillId="0" borderId="2" xfId="0" applyNumberFormat="1" applyFont="1" applyFill="1" applyBorder="1" applyAlignment="1">
      <alignment horizontal="right" wrapText="1" readingOrder="1"/>
    </xf>
    <xf numFmtId="0" fontId="16" fillId="7" borderId="0" xfId="0" applyNumberFormat="1" applyFont="1" applyFill="1" applyBorder="1" applyAlignment="1">
      <alignment horizontal="right" vertical="center" wrapText="1" readingOrder="1"/>
    </xf>
    <xf numFmtId="0" fontId="16" fillId="21" borderId="0" xfId="0" applyNumberFormat="1" applyFont="1" applyFill="1" applyBorder="1" applyAlignment="1" applyProtection="1">
      <alignment horizontal="center" vertical="top" readingOrder="1"/>
      <protection hidden="1"/>
    </xf>
    <xf numFmtId="49" fontId="16" fillId="21" borderId="0" xfId="0" applyNumberFormat="1" applyFont="1" applyFill="1" applyBorder="1" applyAlignment="1" applyProtection="1">
      <alignment horizontal="center" vertical="top" readingOrder="1"/>
      <protection hidden="1"/>
    </xf>
    <xf numFmtId="0" fontId="76" fillId="7" borderId="0" xfId="0" applyFont="1" applyFill="1" applyAlignment="1" applyProtection="1">
      <alignment horizontal="center" vertical="top" wrapText="1"/>
      <protection hidden="1"/>
    </xf>
    <xf numFmtId="0" fontId="76" fillId="21" borderId="0" xfId="0" applyNumberFormat="1" applyFont="1" applyFill="1" applyBorder="1" applyAlignment="1" applyProtection="1">
      <alignment horizontal="center" vertical="top" wrapText="1" readingOrder="1"/>
      <protection hidden="1"/>
    </xf>
    <xf numFmtId="0" fontId="65" fillId="12" borderId="0" xfId="0" applyFont="1" applyFill="1" applyBorder="1" applyAlignment="1" applyProtection="1">
      <alignment vertical="center" wrapText="1"/>
      <protection hidden="1"/>
    </xf>
    <xf numFmtId="0" fontId="33" fillId="15" borderId="0" xfId="0" applyNumberFormat="1" applyFont="1" applyFill="1" applyBorder="1" applyAlignment="1" applyProtection="1">
      <alignment horizontal="center" vertical="top" readingOrder="1"/>
      <protection hidden="1"/>
    </xf>
    <xf numFmtId="0" fontId="44" fillId="12" borderId="0" xfId="0" applyFont="1" applyFill="1" applyBorder="1" applyAlignment="1" applyProtection="1">
      <alignment horizontal="center" vertical="center" wrapText="1"/>
      <protection hidden="1"/>
    </xf>
    <xf numFmtId="171" fontId="14" fillId="0" borderId="0" xfId="0" applyNumberFormat="1" applyFont="1" applyFill="1" applyProtection="1">
      <protection hidden="1"/>
    </xf>
    <xf numFmtId="167" fontId="19" fillId="5" borderId="2" xfId="0" applyNumberFormat="1" applyFont="1" applyFill="1" applyBorder="1" applyAlignment="1">
      <alignment horizontal="right" wrapText="1" readingOrder="1"/>
    </xf>
    <xf numFmtId="167" fontId="78" fillId="5" borderId="2" xfId="0" applyNumberFormat="1" applyFont="1" applyFill="1" applyBorder="1" applyAlignment="1">
      <alignment horizontal="right" wrapText="1" readingOrder="1"/>
    </xf>
    <xf numFmtId="0" fontId="49" fillId="12" borderId="0" xfId="0" applyFont="1" applyFill="1" applyBorder="1" applyAlignment="1" applyProtection="1">
      <alignment horizontal="center" wrapText="1"/>
      <protection hidden="1"/>
    </xf>
    <xf numFmtId="0" fontId="49" fillId="12" borderId="0" xfId="0" applyFont="1" applyFill="1" applyBorder="1" applyAlignment="1" applyProtection="1">
      <alignment horizontal="center"/>
      <protection hidden="1"/>
    </xf>
    <xf numFmtId="0" fontId="70" fillId="12" borderId="0" xfId="0" applyFont="1" applyFill="1" applyBorder="1" applyAlignment="1" applyProtection="1">
      <alignment horizontal="center" vertical="center"/>
      <protection hidden="1"/>
    </xf>
    <xf numFmtId="0" fontId="70" fillId="12" borderId="0" xfId="0" applyFont="1" applyFill="1" applyBorder="1" applyAlignment="1" applyProtection="1">
      <alignment vertical="center"/>
      <protection hidden="1"/>
    </xf>
    <xf numFmtId="0" fontId="68" fillId="12" borderId="0" xfId="22" applyFont="1" applyFill="1" applyAlignment="1">
      <alignment horizontal="left"/>
    </xf>
    <xf numFmtId="0" fontId="68" fillId="12" borderId="0" xfId="22" applyFont="1" applyFill="1" applyBorder="1" applyAlignment="1">
      <alignment horizontal="left"/>
    </xf>
    <xf numFmtId="0" fontId="59" fillId="12" borderId="0" xfId="0" applyFont="1" applyFill="1" applyAlignment="1" applyProtection="1">
      <alignment vertical="center" wrapText="1"/>
      <protection hidden="1"/>
    </xf>
    <xf numFmtId="0" fontId="70" fillId="12" borderId="0" xfId="0" applyFont="1" applyFill="1" applyBorder="1" applyAlignment="1" applyProtection="1">
      <alignment vertical="center" wrapText="1"/>
      <protection hidden="1"/>
    </xf>
    <xf numFmtId="0" fontId="56" fillId="12" borderId="0" xfId="0" applyFont="1" applyFill="1" applyBorder="1" applyAlignment="1">
      <alignment horizontal="center" vertical="center" wrapText="1"/>
    </xf>
    <xf numFmtId="0" fontId="71" fillId="12" borderId="0" xfId="0" applyFont="1" applyFill="1" applyBorder="1" applyAlignment="1" applyProtection="1">
      <alignment horizontal="center" vertical="top" wrapText="1"/>
      <protection hidden="1"/>
    </xf>
    <xf numFmtId="0" fontId="49" fillId="12" borderId="0" xfId="0" applyFont="1" applyFill="1" applyBorder="1" applyAlignment="1" applyProtection="1">
      <alignment horizontal="center" vertical="center" wrapText="1"/>
      <protection hidden="1"/>
    </xf>
    <xf numFmtId="0" fontId="49" fillId="12" borderId="0" xfId="0" applyFont="1" applyFill="1" applyBorder="1" applyAlignment="1" applyProtection="1">
      <alignment horizontal="center" vertical="center"/>
      <protection hidden="1"/>
    </xf>
    <xf numFmtId="0" fontId="41" fillId="12" borderId="0" xfId="0" applyFont="1" applyFill="1" applyAlignment="1" applyProtection="1">
      <alignment horizontal="left" vertical="center" wrapText="1"/>
      <protection hidden="1"/>
    </xf>
    <xf numFmtId="0" fontId="64" fillId="12" borderId="0" xfId="0" applyFont="1" applyFill="1" applyAlignment="1" applyProtection="1">
      <alignment horizontal="center" vertical="center" wrapText="1"/>
      <protection hidden="1"/>
    </xf>
    <xf numFmtId="0" fontId="64" fillId="12" borderId="0" xfId="0" applyFont="1" applyFill="1" applyAlignment="1" applyProtection="1">
      <alignment horizontal="center" vertical="center" wrapText="1"/>
      <protection hidden="1"/>
    </xf>
    <xf numFmtId="0" fontId="37" fillId="12" borderId="0" xfId="0" applyFont="1" applyFill="1" applyBorder="1" applyAlignment="1" applyProtection="1">
      <alignment horizontal="center"/>
      <protection hidden="1"/>
    </xf>
    <xf numFmtId="0" fontId="42" fillId="19" borderId="28" xfId="22" applyFont="1" applyFill="1" applyBorder="1" applyAlignment="1" applyProtection="1">
      <alignment horizontal="center" vertical="center" wrapText="1"/>
      <protection hidden="1" locked="0"/>
    </xf>
    <xf numFmtId="0" fontId="42" fillId="19" borderId="29" xfId="22" applyFont="1" applyFill="1" applyBorder="1" applyAlignment="1" applyProtection="1">
      <alignment horizontal="center" vertical="center" wrapText="1"/>
      <protection hidden="1" locked="0"/>
    </xf>
    <xf numFmtId="0" fontId="42" fillId="19" borderId="30" xfId="22" applyFont="1" applyFill="1" applyBorder="1" applyAlignment="1" applyProtection="1">
      <alignment horizontal="center" vertical="center" wrapText="1"/>
      <protection hidden="1" locked="0"/>
    </xf>
    <xf numFmtId="0" fontId="44" fillId="12" borderId="31" xfId="0" applyFont="1" applyFill="1" applyBorder="1" applyAlignment="1" applyProtection="1">
      <alignment horizontal="center" vertical="center" wrapText="1"/>
      <protection hidden="1"/>
    </xf>
    <xf numFmtId="0" fontId="44" fillId="12" borderId="0" xfId="0" applyFont="1" applyFill="1" applyBorder="1" applyAlignment="1" applyProtection="1">
      <alignment horizontal="center" vertical="center" wrapText="1"/>
      <protection hidden="1"/>
    </xf>
    <xf numFmtId="0" fontId="44" fillId="12" borderId="13" xfId="0" applyFont="1" applyFill="1" applyBorder="1" applyAlignment="1" applyProtection="1">
      <alignment horizontal="center" vertical="center" wrapText="1"/>
      <protection hidden="1"/>
    </xf>
    <xf numFmtId="168" fontId="47" fillId="12" borderId="31" xfId="28" applyNumberFormat="1" applyFont="1" applyFill="1" applyBorder="1" applyAlignment="1" applyProtection="1">
      <alignment horizontal="center" vertical="center"/>
      <protection hidden="1"/>
    </xf>
    <xf numFmtId="168" fontId="47" fillId="12" borderId="0" xfId="28" applyNumberFormat="1" applyFont="1" applyFill="1" applyBorder="1" applyAlignment="1" applyProtection="1">
      <alignment horizontal="center" vertical="center"/>
      <protection hidden="1"/>
    </xf>
    <xf numFmtId="168" fontId="47" fillId="12" borderId="13" xfId="28" applyNumberFormat="1" applyFont="1" applyFill="1" applyBorder="1" applyAlignment="1" applyProtection="1">
      <alignment horizontal="center" vertical="center"/>
      <protection hidden="1"/>
    </xf>
    <xf numFmtId="168" fontId="47" fillId="12" borderId="0" xfId="28" applyNumberFormat="1" applyFont="1" applyFill="1" applyBorder="1" applyAlignment="1" applyProtection="1">
      <alignment horizontal="center"/>
      <protection hidden="1"/>
    </xf>
    <xf numFmtId="0" fontId="37" fillId="12" borderId="11" xfId="0" applyFont="1" applyFill="1" applyBorder="1" applyAlignment="1" applyProtection="1">
      <alignment horizontal="center" vertical="center" wrapText="1"/>
      <protection hidden="1"/>
    </xf>
    <xf numFmtId="0" fontId="37" fillId="12" borderId="0" xfId="0" applyFont="1" applyFill="1" applyBorder="1" applyAlignment="1" applyProtection="1">
      <alignment horizontal="center" vertical="center" wrapText="1"/>
      <protection hidden="1"/>
    </xf>
    <xf numFmtId="0" fontId="41" fillId="19" borderId="32" xfId="0" applyFont="1" applyFill="1" applyBorder="1" applyAlignment="1" applyProtection="1">
      <alignment vertical="center" wrapText="1"/>
      <protection hidden="1"/>
    </xf>
    <xf numFmtId="0" fontId="41" fillId="19" borderId="33" xfId="0" applyFont="1" applyFill="1" applyBorder="1" applyAlignment="1" applyProtection="1">
      <alignment vertical="center" wrapText="1"/>
      <protection hidden="1"/>
    </xf>
    <xf numFmtId="0" fontId="41" fillId="19" borderId="34" xfId="0" applyFont="1" applyFill="1" applyBorder="1" applyAlignment="1" applyProtection="1">
      <alignment vertical="center" wrapText="1"/>
      <protection hidden="1"/>
    </xf>
    <xf numFmtId="0" fontId="44" fillId="12" borderId="0" xfId="0" applyFont="1" applyFill="1" applyBorder="1" applyAlignment="1" applyProtection="1">
      <alignment horizontal="center" vertical="center"/>
      <protection hidden="1"/>
    </xf>
    <xf numFmtId="0" fontId="46" fillId="18" borderId="35" xfId="0" applyFont="1" applyFill="1" applyBorder="1" applyAlignment="1" applyProtection="1">
      <alignment horizontal="center" vertical="center" wrapText="1"/>
      <protection hidden="1"/>
    </xf>
    <xf numFmtId="0" fontId="46" fillId="18" borderId="36" xfId="0" applyFont="1" applyFill="1" applyBorder="1" applyAlignment="1" applyProtection="1">
      <alignment horizontal="center" vertical="center" wrapText="1"/>
      <protection hidden="1"/>
    </xf>
    <xf numFmtId="169" fontId="44" fillId="12" borderId="0" xfId="28" applyNumberFormat="1" applyFont="1" applyFill="1" applyBorder="1" applyAlignment="1" applyProtection="1">
      <alignment horizontal="right" vertical="center"/>
      <protection hidden="1"/>
    </xf>
    <xf numFmtId="168" fontId="44" fillId="12" borderId="0" xfId="28" applyNumberFormat="1" applyFont="1" applyFill="1" applyBorder="1" applyAlignment="1" applyProtection="1">
      <alignment horizontal="right" vertical="center"/>
      <protection hidden="1"/>
    </xf>
    <xf numFmtId="49" fontId="41" fillId="12" borderId="26" xfId="0" applyNumberFormat="1" applyFont="1" applyFill="1" applyBorder="1" applyAlignment="1" applyProtection="1">
      <alignment horizontal="center" vertical="center"/>
      <protection hidden="1"/>
    </xf>
    <xf numFmtId="0" fontId="37" fillId="12" borderId="0" xfId="21" applyFont="1" applyFill="1" applyBorder="1" applyAlignment="1" applyProtection="1">
      <alignment horizontal="center" vertical="top"/>
      <protection hidden="1"/>
    </xf>
    <xf numFmtId="0" fontId="37" fillId="12" borderId="23" xfId="21" applyFont="1" applyFill="1" applyBorder="1" applyAlignment="1" applyProtection="1">
      <alignment horizontal="center" vertical="top"/>
      <protection hidden="1"/>
    </xf>
    <xf numFmtId="0" fontId="46" fillId="18" borderId="0" xfId="0" applyFont="1" applyFill="1" applyBorder="1" applyAlignment="1" applyProtection="1">
      <alignment horizontal="center" vertical="center" wrapText="1"/>
      <protection hidden="1"/>
    </xf>
    <xf numFmtId="0" fontId="37" fillId="12" borderId="0" xfId="21" applyFont="1" applyFill="1" applyBorder="1" applyAlignment="1" applyProtection="1">
      <alignment horizontal="center" vertical="center"/>
      <protection hidden="1"/>
    </xf>
    <xf numFmtId="0" fontId="37" fillId="12" borderId="24" xfId="21" applyFont="1" applyFill="1" applyBorder="1" applyAlignment="1" applyProtection="1">
      <alignment horizontal="center" vertical="center"/>
      <protection hidden="1"/>
    </xf>
    <xf numFmtId="0" fontId="41" fillId="19" borderId="32" xfId="0" applyFont="1" applyFill="1" applyBorder="1" applyAlignment="1" applyProtection="1">
      <alignment vertical="center"/>
      <protection hidden="1"/>
    </xf>
    <xf numFmtId="0" fontId="41" fillId="19" borderId="33" xfId="0" applyFont="1" applyFill="1" applyBorder="1" applyAlignment="1" applyProtection="1">
      <alignment vertical="center"/>
      <protection hidden="1"/>
    </xf>
    <xf numFmtId="0" fontId="41" fillId="19" borderId="34" xfId="0" applyFont="1" applyFill="1" applyBorder="1" applyAlignment="1" applyProtection="1">
      <alignment vertical="center"/>
      <protection hidden="1"/>
    </xf>
    <xf numFmtId="0" fontId="64" fillId="12" borderId="0" xfId="21" applyFont="1" applyFill="1" applyBorder="1" applyAlignment="1" applyProtection="1">
      <alignment horizontal="center" vertical="center" wrapText="1"/>
      <protection hidden="1"/>
    </xf>
    <xf numFmtId="49" fontId="41" fillId="12" borderId="0" xfId="0" applyNumberFormat="1" applyFont="1" applyFill="1" applyBorder="1" applyAlignment="1" applyProtection="1">
      <alignment horizontal="center" vertical="center"/>
      <protection hidden="1"/>
    </xf>
    <xf numFmtId="0" fontId="44" fillId="12" borderId="0" xfId="0" applyFont="1" applyFill="1" applyBorder="1" applyAlignment="1">
      <alignment horizontal="right" vertical="center" wrapText="1"/>
    </xf>
    <xf numFmtId="0" fontId="64" fillId="12" borderId="0" xfId="0" applyFont="1" applyFill="1" applyBorder="1" applyAlignment="1" applyProtection="1">
      <alignment horizontal="center" vertical="top" wrapText="1"/>
      <protection hidden="1"/>
    </xf>
    <xf numFmtId="0" fontId="48" fillId="12" borderId="24" xfId="0" applyFont="1" applyFill="1" applyBorder="1" applyAlignment="1" applyProtection="1">
      <alignment horizontal="center" vertical="center" wrapText="1"/>
      <protection hidden="1"/>
    </xf>
    <xf numFmtId="0" fontId="48" fillId="12" borderId="0" xfId="0" applyFont="1" applyFill="1" applyBorder="1" applyAlignment="1" applyProtection="1">
      <alignment horizontal="center" vertical="center" wrapText="1"/>
      <protection hidden="1"/>
    </xf>
    <xf numFmtId="0" fontId="37" fillId="12" borderId="24" xfId="0" applyFont="1" applyFill="1" applyBorder="1" applyAlignment="1" applyProtection="1">
      <alignment horizontal="center" vertical="center"/>
      <protection hidden="1"/>
    </xf>
    <xf numFmtId="0" fontId="37" fillId="12" borderId="0" xfId="0" applyFont="1" applyFill="1" applyBorder="1" applyAlignment="1" applyProtection="1">
      <alignment horizontal="center" vertical="center"/>
      <protection hidden="1"/>
    </xf>
    <xf numFmtId="0" fontId="42" fillId="19" borderId="35" xfId="22" applyFont="1" applyFill="1" applyBorder="1" applyAlignment="1" applyProtection="1">
      <alignment horizontal="center" vertical="center" wrapText="1"/>
      <protection hidden="1" locked="0"/>
    </xf>
    <xf numFmtId="0" fontId="42" fillId="19" borderId="37" xfId="22" applyFont="1" applyFill="1" applyBorder="1" applyAlignment="1" applyProtection="1">
      <alignment horizontal="center" vertical="center" wrapText="1"/>
      <protection hidden="1" locked="0"/>
    </xf>
    <xf numFmtId="0" fontId="42" fillId="19" borderId="36" xfId="22" applyFont="1" applyFill="1" applyBorder="1" applyAlignment="1" applyProtection="1">
      <alignment horizontal="center" vertical="center" wrapText="1"/>
      <protection hidden="1" locked="0"/>
    </xf>
    <xf numFmtId="0" fontId="42" fillId="12" borderId="35" xfId="22" applyFont="1" applyFill="1" applyBorder="1" applyAlignment="1" applyProtection="1">
      <alignment horizontal="center" vertical="center" wrapText="1"/>
      <protection hidden="1" locked="0"/>
    </xf>
    <xf numFmtId="0" fontId="42" fillId="12" borderId="37" xfId="22" applyFont="1" applyFill="1" applyBorder="1" applyAlignment="1" applyProtection="1">
      <alignment horizontal="center" vertical="center" wrapText="1"/>
      <protection hidden="1" locked="0"/>
    </xf>
    <xf numFmtId="0" fontId="42" fillId="12" borderId="36" xfId="22" applyFont="1" applyFill="1" applyBorder="1" applyAlignment="1" applyProtection="1">
      <alignment horizontal="center" vertical="center" wrapText="1"/>
      <protection hidden="1" locked="0"/>
    </xf>
    <xf numFmtId="0" fontId="66" fillId="12" borderId="0" xfId="0" applyFont="1" applyFill="1" applyBorder="1" applyAlignment="1" applyProtection="1">
      <alignment horizontal="center" vertical="top" wrapText="1"/>
      <protection hidden="1"/>
    </xf>
    <xf numFmtId="0" fontId="48" fillId="12" borderId="30" xfId="0" applyFont="1" applyFill="1" applyBorder="1" applyAlignment="1" applyProtection="1">
      <alignment horizontal="center" vertical="center" wrapText="1"/>
      <protection hidden="1"/>
    </xf>
    <xf numFmtId="0" fontId="42" fillId="12" borderId="28" xfId="0" applyFont="1" applyFill="1" applyBorder="1" applyAlignment="1">
      <alignment horizontal="center" wrapText="1"/>
    </xf>
    <xf numFmtId="0" fontId="46" fillId="12" borderId="30" xfId="0" applyFont="1" applyFill="1" applyBorder="1" applyAlignment="1" applyProtection="1">
      <alignment horizontal="center" vertical="center" wrapText="1"/>
      <protection hidden="1"/>
    </xf>
    <xf numFmtId="0" fontId="48" fillId="12" borderId="32" xfId="0" applyFont="1" applyFill="1" applyBorder="1" applyAlignment="1" applyProtection="1">
      <alignment horizontal="center" vertical="center" wrapText="1"/>
      <protection hidden="1"/>
    </xf>
    <xf numFmtId="0" fontId="48" fillId="12" borderId="33" xfId="0" applyFont="1" applyFill="1" applyBorder="1" applyAlignment="1" applyProtection="1">
      <alignment horizontal="center" vertical="center" wrapText="1"/>
      <protection hidden="1"/>
    </xf>
    <xf numFmtId="0" fontId="48" fillId="12" borderId="34" xfId="0" applyFont="1" applyFill="1" applyBorder="1" applyAlignment="1" applyProtection="1">
      <alignment horizontal="center" vertical="center" wrapText="1"/>
      <protection hidden="1"/>
    </xf>
    <xf numFmtId="0" fontId="38" fillId="12" borderId="24" xfId="0" applyFont="1" applyFill="1" applyBorder="1" applyAlignment="1" applyProtection="1">
      <alignment horizontal="right" vertical="center"/>
      <protection hidden="1"/>
    </xf>
    <xf numFmtId="0" fontId="38" fillId="12" borderId="0" xfId="0" applyFont="1" applyFill="1" applyBorder="1" applyAlignment="1" applyProtection="1">
      <alignment horizontal="right" vertical="center"/>
      <protection hidden="1"/>
    </xf>
    <xf numFmtId="0" fontId="38" fillId="12" borderId="0" xfId="0" applyFont="1" applyFill="1" applyBorder="1" applyAlignment="1" applyProtection="1">
      <alignment horizontal="center" vertical="center" wrapText="1"/>
      <protection hidden="1"/>
    </xf>
  </cellXfs>
  <cellStyles count="16">
    <cellStyle name="Normal" xfId="0"/>
    <cellStyle name="Percent" xfId="15"/>
    <cellStyle name="Currency" xfId="16"/>
    <cellStyle name="Currency [0]" xfId="17"/>
    <cellStyle name="Comma" xfId="18"/>
    <cellStyle name="Comma [0]" xfId="19"/>
    <cellStyle name="Procentowy" xfId="20"/>
    <cellStyle name="Tytuł" xfId="21"/>
    <cellStyle name="Hiperłącze" xfId="22"/>
    <cellStyle name="Nagłówek kluczowej metryki" xfId="23"/>
    <cellStyle name="Wartość kluczowej metryki" xfId="24"/>
    <cellStyle name="Procent kluczowej metryki" xfId="25"/>
    <cellStyle name="Normalny 2" xfId="26"/>
    <cellStyle name="Hiperłącze 2" xfId="27"/>
    <cellStyle name="Dziesiętny" xfId="28"/>
    <cellStyle name="Normalny 3" xfId="29"/>
  </cellStyles>
  <dxfs count="58">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24993999302387238"/>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image" Target="../media/image13.png" /></Relationships>
</file>

<file path=xl/charts/_rels/chart15.xml.rels><?xml version="1.0" encoding="utf-8" standalone="yes"?><Relationships xmlns="http://schemas.openxmlformats.org/package/2006/relationships"><Relationship Id="rId1" Type="http://schemas.openxmlformats.org/officeDocument/2006/relationships/image" Target="../media/image1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775"/>
          <c:y val="0"/>
          <c:w val="0.9105"/>
          <c:h val="0.9685"/>
        </c:manualLayout>
      </c:layout>
      <c:barChart>
        <c:barDir val="col"/>
        <c:grouping val="clustered"/>
        <c:varyColors val="0"/>
        <c:ser>
          <c:idx val="1"/>
          <c:order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D600"/>
              </a:solidFill>
              <a:ln w="9525">
                <a:noFill/>
                <a:round/>
              </a:ln>
            </c:spPr>
          </c:dPt>
          <c:dPt>
            <c:idx val="1"/>
            <c:invertIfNegative val="0"/>
            <c:spPr>
              <a:solidFill>
                <a:srgbClr val="69BE28"/>
              </a:solidFill>
              <a:ln w="9525">
                <a:noFill/>
                <a:round/>
              </a:ln>
            </c:spPr>
          </c:dPt>
          <c:dPt>
            <c:idx val="2"/>
            <c:invertIfNegative val="0"/>
            <c:spPr>
              <a:solidFill>
                <a:srgbClr val="008542"/>
              </a:solidFill>
              <a:ln w="9525">
                <a:noFill/>
                <a:round/>
              </a:ln>
            </c:spPr>
          </c:dPt>
          <c:dPt>
            <c:idx val="3"/>
            <c:invertIfNegative val="0"/>
            <c:spPr>
              <a:solidFill>
                <a:srgbClr val="009AA6"/>
              </a:solidFill>
              <a:ln w="9525">
                <a:noFill/>
                <a:round/>
              </a:ln>
            </c:spPr>
          </c:dPt>
          <c:dPt>
            <c:idx val="4"/>
            <c:invertIfNegative val="0"/>
            <c:spPr>
              <a:solidFill>
                <a:srgbClr val="007AC9"/>
              </a:solidFill>
              <a:ln w="9525">
                <a:noFill/>
                <a:round/>
              </a:ln>
            </c:spPr>
          </c:dPt>
          <c:dPt>
            <c:idx val="5"/>
            <c:invertIfNegative val="0"/>
            <c:spPr>
              <a:solidFill>
                <a:srgbClr val="001D77"/>
              </a:solidFill>
              <a:ln w="9525">
                <a:noFill/>
                <a:round/>
              </a:ln>
            </c:spPr>
          </c:dPt>
          <c:dPt>
            <c:idx val="6"/>
            <c:invertIfNegative val="0"/>
            <c:spPr>
              <a:solidFill>
                <a:srgbClr val="522398"/>
              </a:solidFill>
              <a:ln w="9525">
                <a:noFill/>
                <a:round/>
              </a:ln>
            </c:spPr>
          </c:dPt>
          <c:dPt>
            <c:idx val="7"/>
            <c:invertIfNegative val="0"/>
            <c:spPr>
              <a:solidFill>
                <a:srgbClr val="BED600">
                  <a:alpha val="60000"/>
                </a:srgbClr>
              </a:solidFill>
              <a:ln w="9525">
                <a:noFill/>
                <a:round/>
              </a:ln>
            </c:spPr>
          </c:dPt>
          <c:dPt>
            <c:idx val="8"/>
            <c:invertIfNegative val="0"/>
            <c:spPr>
              <a:solidFill>
                <a:srgbClr val="69BE28">
                  <a:alpha val="60000"/>
                </a:srgbClr>
              </a:solidFill>
              <a:ln w="9525">
                <a:noFill/>
                <a:round/>
              </a:ln>
            </c:spPr>
          </c:dPt>
          <c:dPt>
            <c:idx val="9"/>
            <c:invertIfNegative val="0"/>
            <c:spPr>
              <a:solidFill>
                <a:srgbClr val="008542">
                  <a:alpha val="60000"/>
                </a:srgbClr>
              </a:solidFill>
              <a:ln w="9525">
                <a:noFill/>
                <a:round/>
              </a:ln>
            </c:spPr>
          </c:dPt>
          <c:dLbls>
            <c:numFmt formatCode="#,##0" sourceLinked="0"/>
            <c:spPr>
              <a:solidFill>
                <a:schemeClr val="bg1"/>
              </a:solidFill>
              <a:ln>
                <a:noFill/>
              </a:ln>
            </c:spPr>
            <c:txPr>
              <a:bodyPr vert="horz" rot="-5400000" anchor="ctr">
                <a:spAutoFit/>
              </a:bodyPr>
              <a:lstStyle/>
              <a:p>
                <a:pPr algn="ctr">
                  <a:defRPr lang="en-US" cap="none" sz="1100" b="0" i="0" u="none" baseline="0">
                    <a:solidFill>
                      <a:srgbClr val="000000"/>
                    </a:solidFill>
                    <a:latin typeface="Fira Sans"/>
                    <a:ea typeface="Fira Sans"/>
                    <a:cs typeface="Fira Sans"/>
                  </a:defRPr>
                </a:pPr>
              </a:p>
            </c:txPr>
            <c:dLblPos val="inEnd"/>
            <c:showLegendKey val="0"/>
            <c:showVal val="1"/>
            <c:showBubbleSize val="0"/>
            <c:showCatName val="0"/>
            <c:showSerName val="0"/>
            <c:showPercent val="0"/>
          </c:dLbls>
          <c:cat>
            <c:numRef>
              <c:f>'Tabela PW'!$AU$6:$BD$6</c:f>
              <c:numCache/>
            </c:numRef>
          </c:cat>
          <c:val>
            <c:numRef>
              <c:f>'Tabela PW'!$AU$7:$BD$7</c:f>
              <c:numCache/>
            </c:numRef>
          </c:val>
        </c:ser>
        <c:overlap val="80"/>
        <c:gapWidth val="15"/>
        <c:axId val="65297691"/>
        <c:axId val="50808308"/>
      </c:barChart>
      <c:catAx>
        <c:axId val="6529769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85000"/>
                    <a:lumOff val="15000"/>
                  </a:schemeClr>
                </a:solidFill>
                <a:latin typeface="Fira Sans SemiBold"/>
                <a:ea typeface="Fira Sans SemiBold"/>
                <a:cs typeface="Fira Sans SemiBold"/>
              </a:defRPr>
            </a:pPr>
          </a:p>
        </c:txPr>
        <c:crossAx val="50808308"/>
        <c:crosses val="autoZero"/>
        <c:auto val="1"/>
        <c:lblOffset val="100"/>
        <c:noMultiLvlLbl val="0"/>
      </c:catAx>
      <c:valAx>
        <c:axId val="50808308"/>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out"/>
        <c:minorTickMark val="none"/>
        <c:tickLblPos val="nextTo"/>
        <c:spPr>
          <a:noFill/>
          <a:ln>
            <a:solidFill>
              <a:schemeClr val="tx1">
                <a:lumMod val="65000"/>
                <a:lumOff val="35000"/>
              </a:schemeClr>
            </a:solid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65297691"/>
        <c:crosses val="autoZero"/>
        <c:crossBetween val="between"/>
        <c:dispUnits/>
      </c:valAx>
      <c:spPr>
        <a:noFill/>
        <a:ln>
          <a:noFill/>
        </a:ln>
      </c:spPr>
    </c:plotArea>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25"/>
          <c:y val="0"/>
          <c:w val="0.90675"/>
          <c:h val="0.84475"/>
        </c:manualLayout>
      </c:layout>
      <c:barChart>
        <c:barDir val="col"/>
        <c:grouping val="clustered"/>
        <c:varyColors val="0"/>
        <c:ser>
          <c:idx val="0"/>
          <c:order val="0"/>
          <c:spPr>
            <a:solidFill>
              <a:schemeClr val="bg2">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7AC9"/>
              </a:solidFill>
              <a:ln>
                <a:noFill/>
              </a:ln>
            </c:spPr>
          </c:dPt>
          <c:dPt>
            <c:idx val="1"/>
            <c:invertIfNegative val="0"/>
            <c:spPr>
              <a:solidFill>
                <a:srgbClr val="009AA6"/>
              </a:solidFill>
              <a:ln>
                <a:noFill/>
              </a:ln>
            </c:spPr>
          </c:dPt>
          <c:dLbls>
            <c:numFmt formatCode="#,##0" sourceLinked="0"/>
            <c:spPr>
              <a:solidFill>
                <a:schemeClr val="bg1"/>
              </a:solidFill>
              <a:ln>
                <a:noFill/>
              </a:ln>
            </c:spPr>
            <c:txPr>
              <a:bodyPr vert="horz" rot="-5400000" anchor="ctr">
                <a:spAutoFit/>
              </a:bodyPr>
              <a:lstStyle/>
              <a:p>
                <a:pPr algn="ctr">
                  <a:defRPr lang="en-US" cap="none" sz="1000" b="0" i="0" u="none" baseline="0">
                    <a:solidFill>
                      <a:srgbClr val="000000"/>
                    </a:solidFill>
                    <a:latin typeface="Fira Sans"/>
                    <a:ea typeface="Fira Sans"/>
                    <a:cs typeface="Fira Sans"/>
                  </a:defRPr>
                </a:pPr>
              </a:p>
            </c:txPr>
            <c:dLblPos val="inEnd"/>
            <c:showLegendKey val="0"/>
            <c:showVal val="1"/>
            <c:showBubbleSize val="0"/>
            <c:showCatName val="0"/>
            <c:showSerName val="0"/>
            <c:showPercent val="0"/>
          </c:dLbls>
          <c:cat>
            <c:strRef>
              <c:f>'Rob Inne'!$A$2:$A$3</c:f>
              <c:strCache/>
            </c:strRef>
          </c:cat>
          <c:val>
            <c:numRef>
              <c:f>'Rob Inne'!$B$2:$B$3</c:f>
              <c:numCache/>
            </c:numRef>
          </c:val>
        </c:ser>
        <c:overlap val="-27"/>
        <c:gapWidth val="18"/>
        <c:axId val="867435"/>
        <c:axId val="7806916"/>
      </c:barChart>
      <c:catAx>
        <c:axId val="86743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rgbClr val="000000"/>
                </a:solidFill>
                <a:latin typeface="Fira Sans SemiBold"/>
                <a:ea typeface="Fira Sans SemiBold"/>
                <a:cs typeface="Fira Sans SemiBold"/>
              </a:defRPr>
            </a:pPr>
          </a:p>
        </c:txPr>
        <c:crossAx val="7806916"/>
        <c:crosses val="autoZero"/>
        <c:auto val="1"/>
        <c:lblOffset val="100"/>
        <c:noMultiLvlLbl val="0"/>
      </c:catAx>
      <c:valAx>
        <c:axId val="7806916"/>
        <c:scaling>
          <c:orientation val="minMax"/>
        </c:scaling>
        <c:axPos val="l"/>
        <c:delete val="1"/>
        <c:majorTickMark val="none"/>
        <c:minorTickMark val="none"/>
        <c:tickLblPos val="nextTo"/>
        <c:crossAx val="867435"/>
        <c:crosses val="autoZero"/>
        <c:crossBetween val="between"/>
        <c:dispUnits/>
      </c:valAx>
      <c:spPr>
        <a:noFill/>
        <a:ln>
          <a:noFill/>
        </a:ln>
      </c:spPr>
    </c:plotArea>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7"/>
          <c:y val="0.00875"/>
          <c:w val="0.731"/>
          <c:h val="0.99125"/>
        </c:manualLayout>
      </c:layout>
      <c:barChart>
        <c:barDir val="col"/>
        <c:grouping val="clustered"/>
        <c:varyColors val="0"/>
        <c:ser>
          <c:idx val="1"/>
          <c:order val="0"/>
          <c:tx>
            <c:strRef>
              <c:f>'Rob Inne'!$E$5</c:f>
              <c:strCache>
                <c:ptCount val="1"/>
                <c:pt idx="0">
                  <c:v>Mięso z drobiu przetworzone i zakonserwowane - (PKWiU 10.12)</c:v>
                </c:pt>
              </c:strCache>
            </c:strRef>
          </c:tx>
          <c:spPr>
            <a:solidFill>
              <a:schemeClr val="accent2">
                <a:alpha val="85000"/>
              </a:schemeClr>
            </a:solidFill>
            <a:ln w="9525">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D600"/>
              </a:solidFill>
              <a:ln w="9525">
                <a:noFill/>
                <a:round/>
              </a:ln>
            </c:spPr>
          </c:dPt>
          <c:dPt>
            <c:idx val="1"/>
            <c:invertIfNegative val="0"/>
            <c:spPr>
              <a:solidFill>
                <a:srgbClr val="69BE28"/>
              </a:solidFill>
              <a:ln w="9525">
                <a:noFill/>
                <a:round/>
              </a:ln>
            </c:spPr>
          </c:dPt>
          <c:dPt>
            <c:idx val="2"/>
            <c:invertIfNegative val="0"/>
            <c:spPr>
              <a:solidFill>
                <a:srgbClr val="008542"/>
              </a:solidFill>
              <a:ln w="9525">
                <a:noFill/>
                <a:round/>
              </a:ln>
            </c:spPr>
          </c:dPt>
          <c:dPt>
            <c:idx val="3"/>
            <c:invertIfNegative val="0"/>
            <c:spPr>
              <a:solidFill>
                <a:srgbClr val="009AA6"/>
              </a:solidFill>
              <a:ln w="9525">
                <a:noFill/>
                <a:round/>
              </a:ln>
            </c:spPr>
          </c:dPt>
          <c:dPt>
            <c:idx val="4"/>
            <c:invertIfNegative val="0"/>
            <c:spPr>
              <a:solidFill>
                <a:srgbClr val="007AC9"/>
              </a:solidFill>
              <a:ln w="9525">
                <a:noFill/>
                <a:round/>
              </a:ln>
            </c:spPr>
          </c:dPt>
          <c:dPt>
            <c:idx val="5"/>
            <c:invertIfNegative val="0"/>
            <c:spPr>
              <a:solidFill>
                <a:srgbClr val="001D77"/>
              </a:solidFill>
              <a:ln w="9525">
                <a:noFill/>
                <a:round/>
              </a:ln>
            </c:spPr>
          </c:dPt>
          <c:dPt>
            <c:idx val="6"/>
            <c:invertIfNegative val="0"/>
            <c:spPr>
              <a:solidFill>
                <a:srgbClr val="522398"/>
              </a:solidFill>
              <a:ln w="9525">
                <a:noFill/>
                <a:round/>
              </a:ln>
            </c:spPr>
          </c:dPt>
          <c:dPt>
            <c:idx val="7"/>
            <c:invertIfNegative val="0"/>
            <c:spPr>
              <a:solidFill>
                <a:srgbClr val="BED600">
                  <a:alpha val="60000"/>
                </a:srgbClr>
              </a:solidFill>
              <a:ln w="9525">
                <a:noFill/>
                <a:round/>
              </a:ln>
            </c:spPr>
          </c:dPt>
          <c:dPt>
            <c:idx val="8"/>
            <c:invertIfNegative val="0"/>
            <c:spPr>
              <a:solidFill>
                <a:srgbClr val="69BE28">
                  <a:alpha val="60000"/>
                </a:srgbClr>
              </a:solidFill>
              <a:ln w="9525">
                <a:noFill/>
                <a:round/>
              </a:ln>
            </c:spPr>
          </c:dPt>
          <c:dPt>
            <c:idx val="9"/>
            <c:invertIfNegative val="0"/>
            <c:spPr>
              <a:solidFill>
                <a:srgbClr val="008542">
                  <a:alpha val="60000"/>
                </a:srgbClr>
              </a:solidFill>
              <a:ln w="9525">
                <a:noFill/>
                <a:round/>
              </a:ln>
            </c:spPr>
          </c:dPt>
          <c:dLbls>
            <c:numFmt formatCode="General" sourceLinked="1"/>
            <c:showLegendKey val="0"/>
            <c:showVal val="0"/>
            <c:showBubbleSize val="0"/>
            <c:showCatName val="0"/>
            <c:showSerName val="0"/>
            <c:showPercent val="0"/>
          </c:dLbls>
          <c:cat>
            <c:strRef>
              <c:f>'Rob Inne'!$F$1:$O$1</c:f>
              <c:strCache/>
            </c:strRef>
          </c:cat>
          <c:val>
            <c:numRef>
              <c:f>'Rob Inne'!$F$5:$O$5</c:f>
              <c:numCache/>
            </c:numRef>
          </c:val>
        </c:ser>
        <c:gapWidth val="10"/>
        <c:axId val="3153381"/>
        <c:axId val="28380430"/>
      </c:barChart>
      <c:catAx>
        <c:axId val="3153381"/>
        <c:scaling>
          <c:orientation val="minMax"/>
        </c:scaling>
        <c:axPos val="b"/>
        <c:delete val="0"/>
        <c:numFmt formatCode="General" sourceLinked="1"/>
        <c:majorTickMark val="out"/>
        <c:minorTickMark val="none"/>
        <c:tickLblPos val="nextTo"/>
        <c:spPr>
          <a:noFill/>
          <a:ln w="12700" cap="flat" cmpd="sng">
            <a:solidFill>
              <a:schemeClr val="tx1">
                <a:lumMod val="75000"/>
                <a:lumOff val="25000"/>
              </a:schemeClr>
            </a:solidFill>
            <a:round/>
          </a:ln>
        </c:spPr>
        <c:txPr>
          <a:bodyPr/>
          <a:lstStyle/>
          <a:p>
            <a:pPr>
              <a:defRPr lang="en-US" cap="all" sz="800" b="1" i="0" u="none" baseline="0">
                <a:solidFill>
                  <a:schemeClr val="tx1">
                    <a:lumMod val="75000"/>
                    <a:lumOff val="25000"/>
                  </a:schemeClr>
                </a:solidFill>
                <a:latin typeface="Fira Sans SemiBold"/>
                <a:ea typeface="Fira Sans SemiBold"/>
                <a:cs typeface="Fira Sans SemiBold"/>
              </a:defRPr>
            </a:pPr>
          </a:p>
        </c:txPr>
        <c:crossAx val="28380430"/>
        <c:crosses val="autoZero"/>
        <c:auto val="1"/>
        <c:lblOffset val="100"/>
        <c:noMultiLvlLbl val="0"/>
      </c:catAx>
      <c:valAx>
        <c:axId val="28380430"/>
        <c:scaling>
          <c:orientation val="minMax"/>
        </c:scaling>
        <c:axPos val="l"/>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0" sourceLinked="0"/>
        <c:majorTickMark val="out"/>
        <c:minorTickMark val="none"/>
        <c:tickLblPos val="nextTo"/>
        <c:spPr>
          <a:noFill/>
          <a:ln>
            <a:noFill/>
          </a:ln>
        </c:spPr>
        <c:txPr>
          <a:bodyPr/>
          <a:lstStyle/>
          <a:p>
            <a:pPr>
              <a:defRPr lang="en-US" cap="none" sz="900" b="0" i="0" u="none" baseline="0">
                <a:solidFill>
                  <a:schemeClr val="tx1">
                    <a:lumMod val="75000"/>
                    <a:lumOff val="25000"/>
                  </a:schemeClr>
                </a:solidFill>
                <a:latin typeface="Fira Sans SemiBold"/>
                <a:ea typeface="Fira Sans SemiBold"/>
                <a:cs typeface="Fira Sans SemiBold"/>
              </a:defRPr>
            </a:pPr>
          </a:p>
        </c:txPr>
        <c:crossAx val="3153381"/>
        <c:crosses val="autoZero"/>
        <c:crossBetween val="between"/>
        <c:dispUnits/>
      </c:valAx>
      <c:spPr>
        <a:noFill/>
        <a:ln>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425"/>
          <c:y val="0.0225"/>
          <c:w val="0.81775"/>
          <c:h val="1"/>
        </c:manualLayout>
      </c:layout>
      <c:barChart>
        <c:barDir val="col"/>
        <c:grouping val="clustered"/>
        <c:varyColors val="0"/>
        <c:ser>
          <c:idx val="1"/>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69BE28"/>
              </a:solidFill>
              <a:ln>
                <a:noFill/>
              </a:ln>
            </c:spPr>
          </c:dPt>
          <c:dPt>
            <c:idx val="1"/>
            <c:invertIfNegative val="0"/>
            <c:spPr>
              <a:solidFill>
                <a:srgbClr val="008542"/>
              </a:solidFill>
              <a:ln>
                <a:noFill/>
              </a:ln>
            </c:spPr>
          </c:dPt>
          <c:dPt>
            <c:idx val="2"/>
            <c:invertIfNegative val="0"/>
            <c:spPr>
              <a:solidFill>
                <a:srgbClr val="009AA6"/>
              </a:solidFill>
              <a:ln>
                <a:noFill/>
              </a:ln>
            </c:spPr>
          </c:dPt>
          <c:dPt>
            <c:idx val="3"/>
            <c:invertIfNegative val="0"/>
            <c:spPr>
              <a:solidFill>
                <a:srgbClr val="007AC9"/>
              </a:solidFill>
              <a:ln>
                <a:noFill/>
              </a:ln>
            </c:spPr>
          </c:dPt>
          <c:dPt>
            <c:idx val="4"/>
            <c:invertIfNegative val="0"/>
            <c:spPr>
              <a:solidFill>
                <a:srgbClr val="001D77"/>
              </a:solidFill>
              <a:ln>
                <a:noFill/>
              </a:ln>
            </c:spPr>
          </c:dPt>
          <c:dPt>
            <c:idx val="5"/>
            <c:invertIfNegative val="0"/>
            <c:spPr>
              <a:solidFill>
                <a:srgbClr val="522398"/>
              </a:solidFill>
              <a:ln>
                <a:noFill/>
              </a:ln>
            </c:spPr>
          </c:dPt>
          <c:dPt>
            <c:idx val="6"/>
            <c:invertIfNegative val="0"/>
            <c:spPr>
              <a:solidFill>
                <a:srgbClr val="BED600">
                  <a:alpha val="60000"/>
                </a:srgbClr>
              </a:solidFill>
              <a:ln>
                <a:noFill/>
              </a:ln>
            </c:spPr>
          </c:dPt>
          <c:dPt>
            <c:idx val="7"/>
            <c:invertIfNegative val="0"/>
            <c:spPr>
              <a:solidFill>
                <a:srgbClr val="69BE28">
                  <a:alpha val="60000"/>
                </a:srgbClr>
              </a:solidFill>
              <a:ln>
                <a:noFill/>
              </a:ln>
            </c:spPr>
          </c:dPt>
          <c:dPt>
            <c:idx val="8"/>
            <c:invertIfNegative val="0"/>
            <c:spPr>
              <a:solidFill>
                <a:srgbClr val="008542">
                  <a:alpha val="60000"/>
                </a:srgbClr>
              </a:solidFill>
              <a:ln>
                <a:noFill/>
              </a:ln>
            </c:spPr>
          </c:dPt>
          <c:dLbls>
            <c:numFmt formatCode="General" sourceLinked="1"/>
            <c:showLegendKey val="0"/>
            <c:showVal val="0"/>
            <c:showBubbleSize val="0"/>
            <c:showCatName val="0"/>
            <c:showSerName val="0"/>
            <c:showPercent val="0"/>
          </c:dLbls>
          <c:cat>
            <c:strRef>
              <c:f>'Rob Inne'!$P$1:$X$1</c:f>
              <c:strCache/>
            </c:strRef>
          </c:cat>
          <c:val>
            <c:numRef>
              <c:f>'Rob Inne'!$P$5:$X$5</c:f>
              <c:numCache/>
            </c:numRef>
          </c:val>
        </c:ser>
        <c:gapWidth val="10"/>
        <c:axId val="54097279"/>
        <c:axId val="17113464"/>
      </c:barChart>
      <c:catAx>
        <c:axId val="54097279"/>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low"/>
        <c:spPr>
          <a:noFill/>
          <a:ln w="12700" cap="flat" cmpd="sng">
            <a:solidFill>
              <a:srgbClr val="000000"/>
            </a:solidFill>
            <a:round/>
          </a:ln>
        </c:spPr>
        <c:txPr>
          <a:bodyPr/>
          <a:lstStyle/>
          <a:p>
            <a:pPr>
              <a:defRPr lang="en-US" cap="none" sz="900" b="1" i="0" u="none" baseline="0">
                <a:solidFill>
                  <a:schemeClr val="tx1">
                    <a:lumMod val="75000"/>
                    <a:lumOff val="25000"/>
                  </a:schemeClr>
                </a:solidFill>
                <a:latin typeface="Fira Sans SemiBold"/>
                <a:ea typeface="Fira Sans SemiBold"/>
                <a:cs typeface="Fira Sans SemiBold"/>
              </a:defRPr>
            </a:pPr>
          </a:p>
        </c:txPr>
        <c:crossAx val="17113464"/>
        <c:crossesAt val="100"/>
        <c:auto val="1"/>
        <c:lblOffset val="100"/>
        <c:noMultiLvlLbl val="0"/>
      </c:catAx>
      <c:valAx>
        <c:axId val="17113464"/>
        <c:scaling>
          <c:orientation val="minMax"/>
        </c:scaling>
        <c:axPos val="l"/>
        <c:delete val="0"/>
        <c:numFmt formatCode="0" sourceLinked="1"/>
        <c:majorTickMark val="out"/>
        <c:minorTickMark val="none"/>
        <c:tickLblPos val="low"/>
        <c:spPr>
          <a:noFill/>
          <a:ln>
            <a:no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54097279"/>
        <c:crosses val="autoZero"/>
        <c:crossBetween val="between"/>
        <c:dispUnits/>
      </c:valAx>
      <c:spPr>
        <a:noFill/>
        <a:ln w="25400">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3925"/>
          <c:y val="0.49875"/>
          <c:w val="0.75675"/>
          <c:h val="0.4685"/>
        </c:manualLayout>
      </c:layout>
      <c:barChart>
        <c:barDir val="col"/>
        <c:grouping val="clustered"/>
        <c:varyColors val="0"/>
        <c:ser>
          <c:idx val="1"/>
          <c:order val="0"/>
          <c:spPr>
            <a:blipFill>
              <a:blip r:embed="rId1"/>
              <a:srcRect/>
              <a:stretch>
                <a:fillRect/>
              </a:stretch>
            </a:blip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retch"/>
          </c:pictureOptions>
          <c:dLbls>
            <c:numFmt formatCode="General" sourceLinked="1"/>
            <c:showLegendKey val="0"/>
            <c:showVal val="0"/>
            <c:showBubbleSize val="0"/>
            <c:showCatName val="0"/>
            <c:showSerName val="0"/>
            <c:showPercent val="0"/>
          </c:dLbls>
          <c:cat>
            <c:strRef>
              <c:f>'Rob Inne'!$F$1:$O$1</c:f>
              <c:strCache/>
            </c:strRef>
          </c:cat>
          <c:val>
            <c:numRef>
              <c:f>'Rob Inne'!$F$6:$O$6</c:f>
              <c:numCache/>
            </c:numRef>
          </c:val>
        </c:ser>
        <c:gapWidth val="0"/>
        <c:axId val="19803449"/>
        <c:axId val="44013314"/>
      </c:barChart>
      <c:catAx>
        <c:axId val="19803449"/>
        <c:scaling>
          <c:orientation val="minMax"/>
        </c:scaling>
        <c:axPos val="b"/>
        <c:delete val="1"/>
        <c:majorTickMark val="out"/>
        <c:minorTickMark val="none"/>
        <c:tickLblPos val="nextTo"/>
        <c:crossAx val="44013314"/>
        <c:crosses val="autoZero"/>
        <c:auto val="1"/>
        <c:lblOffset val="100"/>
        <c:noMultiLvlLbl val="0"/>
      </c:catAx>
      <c:valAx>
        <c:axId val="44013314"/>
        <c:scaling>
          <c:orientation val="minMax"/>
        </c:scaling>
        <c:axPos val="l"/>
        <c:delete val="1"/>
        <c:majorTickMark val="out"/>
        <c:minorTickMark val="none"/>
        <c:tickLblPos val="nextTo"/>
        <c:crossAx val="19803449"/>
        <c:crosses val="autoZero"/>
        <c:crossBetween val="between"/>
        <c:dispUnits/>
      </c:valAx>
      <c:spPr>
        <a:noFill/>
        <a:ln>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475"/>
          <c:y val="0.04875"/>
          <c:w val="0.81825"/>
          <c:h val="0.8555"/>
        </c:manualLayout>
      </c:layout>
      <c:pieChart>
        <c:varyColors val="1"/>
        <c:ser>
          <c:idx val="0"/>
          <c:order val="0"/>
          <c:spPr>
            <a:solidFill>
              <a:schemeClr val="accent5">
                <a:lumMod val="75000"/>
              </a:schemeClr>
            </a:solidFill>
          </c:spPr>
          <c:explosion val="3"/>
          <c:extLst>
            <c:ext xmlns:c14="http://schemas.microsoft.com/office/drawing/2007/8/2/chart" uri="{6F2FDCE9-48DA-4B69-8628-5D25D57E5C99}">
              <c14:invertSolidFillFmt>
                <c14:spPr>
                  <a:solidFill>
                    <a:srgbClr val="000000"/>
                  </a:solidFill>
                </c14:spPr>
              </c14:invertSolidFillFmt>
            </c:ext>
          </c:extLst>
          <c:dPt>
            <c:idx val="0"/>
            <c:spPr>
              <a:solidFill>
                <a:srgbClr val="007AC9"/>
              </a:solidFill>
            </c:spPr>
          </c:dPt>
          <c:dPt>
            <c:idx val="1"/>
            <c:spPr>
              <a:solidFill>
                <a:srgbClr val="69BE28"/>
              </a:solidFill>
            </c:spPr>
          </c:dPt>
          <c:dLbls>
            <c:dLbl>
              <c:idx val="0"/>
              <c:txPr>
                <a:bodyPr vert="horz" rot="0" wrap="none" anchor="ctr"/>
                <a:lstStyle/>
                <a:p>
                  <a:pPr algn="ctr">
                    <a:defRPr lang="en-US" cap="none" sz="1000" b="0" i="0" u="none" baseline="0">
                      <a:solidFill>
                        <a:srgbClr val="000000"/>
                      </a:solidFill>
                      <a:latin typeface="Fira Sans"/>
                      <a:ea typeface="Fira Sans"/>
                      <a:cs typeface="Fira Sans"/>
                    </a:defRPr>
                  </a:pPr>
                </a:p>
              </c:txPr>
              <c:numFmt formatCode="General" sourceLinked="1"/>
              <c:spPr>
                <a:solidFill>
                  <a:schemeClr val="bg1"/>
                </a:solidFill>
                <a:ln>
                  <a:noFill/>
                </a:ln>
              </c:spPr>
              <c:dLblPos val="ctr"/>
              <c:showLegendKey val="0"/>
              <c:showVal val="0"/>
              <c:showBubbleSize val="0"/>
              <c:showCatName val="1"/>
              <c:showSerName val="0"/>
              <c:showPercent val="1"/>
            </c:dLbl>
            <c:numFmt formatCode="General" sourceLinked="1"/>
            <c:spPr>
              <a:solidFill>
                <a:schemeClr val="bg1"/>
              </a:solidFill>
              <a:ln>
                <a:noFill/>
              </a:ln>
            </c:spPr>
            <c:txPr>
              <a:bodyPr vert="horz" rot="0" wrap="none" anchor="ctr">
                <a:spAutoFit/>
              </a:bodyPr>
              <a:lstStyle/>
              <a:p>
                <a:pPr algn="ctr">
                  <a:defRPr lang="en-US" cap="none" sz="1000" b="0" i="0" u="none" baseline="0">
                    <a:solidFill>
                      <a:srgbClr val="000000"/>
                    </a:solidFill>
                    <a:latin typeface="Fira Sans"/>
                    <a:ea typeface="Fira Sans"/>
                    <a:cs typeface="Fira Sans"/>
                  </a:defRPr>
                </a:pPr>
              </a:p>
            </c:txPr>
            <c:dLblPos val="ctr"/>
            <c:showLegendKey val="0"/>
            <c:showVal val="0"/>
            <c:showBubbleSize val="0"/>
            <c:showCatName val="1"/>
            <c:showSerName val="0"/>
            <c:showLeaderLines val="0"/>
            <c:showPercent val="1"/>
          </c:dLbls>
          <c:cat>
            <c:strRef>
              <c:f>('Rob Inne'!$A$9,'Rob Inne'!$A$12)</c:f>
              <c:strCache/>
            </c:strRef>
          </c:cat>
          <c:val>
            <c:numRef>
              <c:f>('Rob Inne'!$B$9,'Rob Inne'!$B$12)</c:f>
              <c:numCache/>
            </c:numRef>
          </c:val>
        </c:ser>
      </c:pieChart>
      <c:spPr>
        <a:noFill/>
        <a:ln>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875"/>
          <c:y val="0.55025"/>
          <c:w val="0.79125"/>
          <c:h val="0.44975"/>
        </c:manualLayout>
      </c:layout>
      <c:barChart>
        <c:barDir val="col"/>
        <c:grouping val="clustered"/>
        <c:varyColors val="0"/>
        <c:ser>
          <c:idx val="1"/>
          <c:order val="0"/>
          <c:spPr>
            <a:blipFill>
              <a:blip r:embed="rId1"/>
              <a:srcRect/>
              <a:stretch>
                <a:fillRect/>
              </a:stretch>
            </a:blipFill>
            <a:ln w="9525" cap="flat" cmpd="sng">
              <a:solidFill>
                <a:schemeClr val="bg1">
                  <a:alpha val="50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retch"/>
          </c:pictureOptions>
          <c:dLbls>
            <c:numFmt formatCode="General" sourceLinked="1"/>
            <c:showLegendKey val="0"/>
            <c:showVal val="0"/>
            <c:showBubbleSize val="0"/>
            <c:showCatName val="0"/>
            <c:showSerName val="0"/>
            <c:showPercent val="0"/>
          </c:dLbls>
          <c:cat>
            <c:strRef>
              <c:f>'Rob Inne'!$P$1:$X$1</c:f>
              <c:strCache/>
            </c:strRef>
          </c:cat>
          <c:val>
            <c:numRef>
              <c:f>'Rob Inne'!$P$6:$X$6</c:f>
              <c:numCache/>
            </c:numRef>
          </c:val>
        </c:ser>
        <c:gapWidth val="0"/>
        <c:axId val="60575507"/>
        <c:axId val="8308652"/>
      </c:barChart>
      <c:catAx>
        <c:axId val="60575507"/>
        <c:scaling>
          <c:orientation val="minMax"/>
        </c:scaling>
        <c:axPos val="b"/>
        <c:delete val="1"/>
        <c:majorTickMark val="out"/>
        <c:minorTickMark val="none"/>
        <c:tickLblPos val="nextTo"/>
        <c:crossAx val="8308652"/>
        <c:crosses val="autoZero"/>
        <c:auto val="1"/>
        <c:lblOffset val="100"/>
        <c:noMultiLvlLbl val="0"/>
      </c:catAx>
      <c:valAx>
        <c:axId val="8308652"/>
        <c:scaling>
          <c:orientation val="minMax"/>
        </c:scaling>
        <c:axPos val="l"/>
        <c:delete val="1"/>
        <c:majorTickMark val="out"/>
        <c:minorTickMark val="none"/>
        <c:tickLblPos val="nextTo"/>
        <c:crossAx val="60575507"/>
        <c:crosses val="autoZero"/>
        <c:crossBetween val="between"/>
        <c:dispUnits/>
      </c:valAx>
      <c:spPr>
        <a:noFill/>
        <a:ln>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775"/>
          <c:y val="0.16525"/>
          <c:w val="0.9105"/>
          <c:h val="0.699"/>
        </c:manualLayout>
      </c:layout>
      <c:barChart>
        <c:barDir val="col"/>
        <c:grouping val="clustered"/>
        <c:varyColors val="0"/>
        <c:ser>
          <c:idx val="1"/>
          <c:order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69BE28"/>
              </a:solidFill>
              <a:ln w="9525">
                <a:noFill/>
                <a:round/>
              </a:ln>
            </c:spPr>
          </c:dPt>
          <c:dPt>
            <c:idx val="1"/>
            <c:invertIfNegative val="0"/>
            <c:spPr>
              <a:solidFill>
                <a:srgbClr val="008542"/>
              </a:solidFill>
              <a:ln w="9525">
                <a:noFill/>
                <a:round/>
              </a:ln>
            </c:spPr>
          </c:dPt>
          <c:dPt>
            <c:idx val="2"/>
            <c:invertIfNegative val="0"/>
            <c:spPr>
              <a:solidFill>
                <a:srgbClr val="009AA6"/>
              </a:solidFill>
              <a:ln w="9525">
                <a:noFill/>
                <a:round/>
              </a:ln>
            </c:spPr>
          </c:dPt>
          <c:dPt>
            <c:idx val="3"/>
            <c:invertIfNegative val="0"/>
            <c:spPr>
              <a:solidFill>
                <a:srgbClr val="007AC9"/>
              </a:solidFill>
              <a:ln w="9525">
                <a:noFill/>
                <a:round/>
              </a:ln>
            </c:spPr>
          </c:dPt>
          <c:dPt>
            <c:idx val="4"/>
            <c:invertIfNegative val="0"/>
            <c:spPr>
              <a:solidFill>
                <a:srgbClr val="001D77"/>
              </a:solidFill>
              <a:ln w="9525">
                <a:noFill/>
                <a:round/>
              </a:ln>
            </c:spPr>
          </c:dPt>
          <c:dPt>
            <c:idx val="5"/>
            <c:invertIfNegative val="0"/>
            <c:spPr>
              <a:solidFill>
                <a:srgbClr val="522398"/>
              </a:solidFill>
              <a:ln w="9525">
                <a:noFill/>
                <a:round/>
              </a:ln>
            </c:spPr>
          </c:dPt>
          <c:dPt>
            <c:idx val="6"/>
            <c:invertIfNegative val="0"/>
            <c:spPr>
              <a:solidFill>
                <a:srgbClr val="BED600">
                  <a:alpha val="60000"/>
                </a:srgbClr>
              </a:solidFill>
              <a:ln w="9525">
                <a:noFill/>
                <a:round/>
              </a:ln>
            </c:spPr>
          </c:dPt>
          <c:dPt>
            <c:idx val="7"/>
            <c:invertIfNegative val="0"/>
            <c:spPr>
              <a:solidFill>
                <a:srgbClr val="69BE28">
                  <a:alpha val="60000"/>
                </a:srgbClr>
              </a:solidFill>
              <a:ln w="9525">
                <a:noFill/>
                <a:round/>
              </a:ln>
            </c:spPr>
          </c:dPt>
          <c:dPt>
            <c:idx val="8"/>
            <c:invertIfNegative val="0"/>
            <c:spPr>
              <a:solidFill>
                <a:srgbClr val="008542">
                  <a:alpha val="60000"/>
                </a:srgbClr>
              </a:solidFill>
              <a:ln w="9525">
                <a:noFill/>
                <a:round/>
              </a:ln>
            </c:spPr>
          </c:dPt>
          <c:dLbls>
            <c:numFmt formatCode="General" sourceLinked="1"/>
            <c:spPr>
              <a:noFill/>
              <a:ln>
                <a:noFill/>
              </a:ln>
            </c:spPr>
            <c:txPr>
              <a:bodyPr vert="horz" rot="-5400000" anchor="ctr">
                <a:spAutoFit/>
              </a:bodyPr>
              <a:lstStyle/>
              <a:p>
                <a:pPr algn="ctr">
                  <a:defRPr lang="en-US" cap="none" sz="1000" b="0" i="0" u="none" baseline="0">
                    <a:solidFill>
                      <a:schemeClr val="tx1"/>
                    </a:solidFill>
                    <a:latin typeface="Fira Sans"/>
                    <a:ea typeface="Fira Sans"/>
                    <a:cs typeface="Fira Sans"/>
                  </a:defRPr>
                </a:pPr>
              </a:p>
            </c:txPr>
            <c:dLblPos val="outEnd"/>
            <c:showLegendKey val="0"/>
            <c:showVal val="1"/>
            <c:showBubbleSize val="0"/>
            <c:showCatName val="0"/>
            <c:showSerName val="0"/>
            <c:showPercent val="0"/>
          </c:dLbls>
          <c:cat>
            <c:numRef>
              <c:f>'Tabela PW'!$AV$9:$BD$9</c:f>
              <c:numCache/>
            </c:numRef>
          </c:cat>
          <c:val>
            <c:numRef>
              <c:f>'Tabela PW'!$AV$10:$BD$10</c:f>
              <c:numCache/>
            </c:numRef>
          </c:val>
        </c:ser>
        <c:overlap val="80"/>
        <c:gapWidth val="15"/>
        <c:axId val="54621589"/>
        <c:axId val="21832254"/>
      </c:barChart>
      <c:catAx>
        <c:axId val="54621589"/>
        <c:scaling>
          <c:orientation val="minMax"/>
        </c:scaling>
        <c:axPos val="b"/>
        <c:delete val="0"/>
        <c:numFmt formatCode="General" sourceLinked="1"/>
        <c:majorTickMark val="none"/>
        <c:minorTickMark val="none"/>
        <c:tickLblPos val="low"/>
        <c:spPr>
          <a:noFill/>
          <a:ln w="12700" cap="flat" cmpd="sng">
            <a:solidFill>
              <a:schemeClr val="accent1">
                <a:lumMod val="75000"/>
              </a:schemeClr>
            </a:solidFill>
            <a:round/>
          </a:ln>
        </c:spPr>
        <c:txPr>
          <a:bodyPr/>
          <a:lstStyle/>
          <a:p>
            <a:pPr>
              <a:defRPr lang="en-US" cap="none" sz="1000" b="0" i="0" u="none" baseline="0">
                <a:solidFill>
                  <a:schemeClr val="tx1">
                    <a:lumMod val="75000"/>
                    <a:lumOff val="25000"/>
                  </a:schemeClr>
                </a:solidFill>
                <a:latin typeface="Fira Sans SemiBold"/>
                <a:ea typeface="Fira Sans SemiBold"/>
                <a:cs typeface="Fira Sans SemiBold"/>
              </a:defRPr>
            </a:pPr>
          </a:p>
        </c:txPr>
        <c:crossAx val="21832254"/>
        <c:crossesAt val="100"/>
        <c:auto val="1"/>
        <c:lblOffset val="100"/>
        <c:noMultiLvlLbl val="0"/>
      </c:catAx>
      <c:valAx>
        <c:axId val="21832254"/>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solidFill>
              <a:schemeClr val="tx1">
                <a:lumMod val="65000"/>
                <a:lumOff val="35000"/>
              </a:schemeClr>
            </a:solid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54621589"/>
        <c:crosses val="autoZero"/>
        <c:crossBetween val="between"/>
        <c:dispUnits/>
      </c:valAx>
      <c:spPr>
        <a:noFill/>
        <a:ln>
          <a:noFill/>
        </a:ln>
      </c:spPr>
    </c:plotArea>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manualLayout>
          <c:layoutTarget val="inner"/>
          <c:xMode val="edge"/>
          <c:yMode val="edge"/>
          <c:x val="0.09675"/>
          <c:y val="0.04975"/>
          <c:w val="0.8995"/>
          <c:h val="0.87925"/>
        </c:manualLayout>
      </c:layout>
      <c:barChart>
        <c:barDir val="col"/>
        <c:grouping val="clustered"/>
        <c:varyColors val="0"/>
        <c:ser>
          <c:idx val="1"/>
          <c:order val="0"/>
          <c:tx>
            <c:strRef>
              <c:f>'Tabela PS'!$AG$1</c:f>
              <c:strCache>
                <c:ptCount val="1"/>
                <c:pt idx="0">
                  <c:v>Wartość produkcji sprzedanej dla działów</c:v>
                </c:pt>
              </c:strCache>
            </c:strRef>
          </c:tx>
          <c:spPr>
            <a:solidFill>
              <a:srgbClr val="007AC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('Tabela PS'!$U$3,'Tabela PS'!$U$4:$U$27)</c:f>
              <c:strCache/>
            </c:strRef>
          </c:cat>
          <c:val>
            <c:numRef>
              <c:f>('Tabela PS'!$AG$3,'Tabela PS'!$AG$4:$AG$27)</c:f>
              <c:numCache/>
            </c:numRef>
          </c:val>
        </c:ser>
        <c:ser>
          <c:idx val="2"/>
          <c:order val="1"/>
          <c:tx>
            <c:strRef>
              <c:f>'Tabela PS'!$AI$1</c:f>
              <c:strCache>
                <c:ptCount val="1"/>
                <c:pt idx="0">
                  <c:v>Wartość produkcji sprzedanej wybranego działu</c:v>
                </c:pt>
              </c:strCache>
            </c:strRef>
          </c:tx>
          <c:spPr>
            <a:solidFill>
              <a:schemeClr val="accent6">
                <a:lumMod val="75000"/>
              </a:schemeClr>
            </a:soli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('Tabela PS'!$U$3,'Tabela PS'!$U$4:$U$27)</c:f>
              <c:strCache/>
            </c:strRef>
          </c:cat>
          <c:val>
            <c:numRef>
              <c:f>('Tabela PS'!$AI$3,'Tabela PS'!$AI$4:$AI$27)</c:f>
              <c:numCache/>
            </c:numRef>
          </c:val>
        </c:ser>
        <c:overlap val="100"/>
        <c:gapWidth val="9"/>
        <c:axId val="62272559"/>
        <c:axId val="23582120"/>
      </c:barChart>
      <c:catAx>
        <c:axId val="62272559"/>
        <c:scaling>
          <c:orientation val="minMax"/>
        </c:scaling>
        <c:axPos val="b"/>
        <c:delete val="1"/>
        <c:majorTickMark val="none"/>
        <c:minorTickMark val="none"/>
        <c:tickLblPos val="nextTo"/>
        <c:crossAx val="23582120"/>
        <c:crossesAt val="0"/>
        <c:auto val="1"/>
        <c:lblOffset val="100"/>
        <c:noMultiLvlLbl val="0"/>
      </c:catAx>
      <c:valAx>
        <c:axId val="23582120"/>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out"/>
        <c:minorTickMark val="none"/>
        <c:tickLblPos val="nextTo"/>
        <c:spPr>
          <a:noFill/>
          <a:ln>
            <a:solidFill>
              <a:schemeClr val="tx1">
                <a:lumMod val="65000"/>
                <a:lumOff val="35000"/>
              </a:schemeClr>
            </a:solid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62272559"/>
        <c:crosses val="autoZero"/>
        <c:crossBetween val="between"/>
        <c:dispUnits/>
      </c:valAx>
      <c:spPr>
        <a:noFill/>
        <a:ln>
          <a:noFill/>
        </a:ln>
      </c:spPr>
    </c:plotArea>
    <c:legend>
      <c:legendPos val="b"/>
      <c:layout>
        <c:manualLayout>
          <c:xMode val="edge"/>
          <c:yMode val="edge"/>
          <c:x val="0.18"/>
          <c:y val="0.047"/>
          <c:w val="0.8105"/>
          <c:h val="0.10675"/>
        </c:manualLayout>
      </c:layout>
      <c:overlay val="0"/>
      <c:spPr>
        <a:noFill/>
        <a:ln>
          <a:noFill/>
        </a:ln>
      </c:spPr>
      <c:txPr>
        <a:bodyPr vert="horz" rot="0"/>
        <a:lstStyle/>
        <a:p>
          <a:pPr>
            <a:defRPr lang="en-US" cap="none" sz="900" b="1" i="1" u="none" baseline="0">
              <a:solidFill>
                <a:schemeClr val="accent6">
                  <a:lumMod val="50000"/>
                </a:schemeClr>
              </a:solidFill>
              <a:latin typeface="+mn-lt"/>
              <a:ea typeface="Calibri"/>
              <a:cs typeface="Calibri"/>
            </a:defRPr>
          </a:pPr>
        </a:p>
      </c:txPr>
    </c:legend>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3"/>
          <c:y val="0.0165"/>
          <c:w val="0.8645"/>
          <c:h val="0.9265"/>
        </c:manualLayout>
      </c:layout>
      <c:barChart>
        <c:barDir val="col"/>
        <c:grouping val="clustered"/>
        <c:varyColors val="0"/>
        <c:ser>
          <c:idx val="1"/>
          <c:order val="0"/>
          <c:tx>
            <c:strRef>
              <c:f>'Tabela PS'!$W$1:$AF$1</c:f>
              <c:strCache>
                <c:ptCount val="1"/>
                <c:pt idx="0">
                  <c:v>2019</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D600"/>
              </a:solidFill>
              <a:ln w="9525">
                <a:noFill/>
                <a:round/>
              </a:ln>
            </c:spPr>
          </c:dPt>
          <c:dPt>
            <c:idx val="1"/>
            <c:invertIfNegative val="0"/>
            <c:spPr>
              <a:solidFill>
                <a:srgbClr val="69BE28"/>
              </a:solidFill>
              <a:ln w="9525">
                <a:noFill/>
                <a:round/>
              </a:ln>
            </c:spPr>
          </c:dPt>
          <c:dPt>
            <c:idx val="2"/>
            <c:invertIfNegative val="0"/>
            <c:spPr>
              <a:solidFill>
                <a:srgbClr val="008542"/>
              </a:solidFill>
              <a:ln w="9525">
                <a:noFill/>
                <a:round/>
              </a:ln>
            </c:spPr>
          </c:dPt>
          <c:dPt>
            <c:idx val="3"/>
            <c:invertIfNegative val="0"/>
            <c:spPr>
              <a:solidFill>
                <a:srgbClr val="009AA6"/>
              </a:solidFill>
              <a:ln w="9525">
                <a:noFill/>
                <a:round/>
              </a:ln>
            </c:spPr>
          </c:dPt>
          <c:dPt>
            <c:idx val="4"/>
            <c:invertIfNegative val="0"/>
            <c:spPr>
              <a:solidFill>
                <a:srgbClr val="007AC9"/>
              </a:solidFill>
              <a:ln w="9525">
                <a:noFill/>
                <a:round/>
              </a:ln>
            </c:spPr>
          </c:dPt>
          <c:dPt>
            <c:idx val="5"/>
            <c:invertIfNegative val="0"/>
            <c:spPr>
              <a:solidFill>
                <a:srgbClr val="001D77"/>
              </a:solidFill>
              <a:ln w="9525">
                <a:noFill/>
                <a:round/>
              </a:ln>
            </c:spPr>
          </c:dPt>
          <c:dPt>
            <c:idx val="6"/>
            <c:invertIfNegative val="0"/>
            <c:spPr>
              <a:solidFill>
                <a:srgbClr val="522398"/>
              </a:solidFill>
              <a:ln w="9525">
                <a:noFill/>
                <a:round/>
              </a:ln>
            </c:spPr>
          </c:dPt>
          <c:dPt>
            <c:idx val="7"/>
            <c:invertIfNegative val="0"/>
            <c:spPr>
              <a:solidFill>
                <a:srgbClr val="BED600">
                  <a:alpha val="60000"/>
                </a:srgbClr>
              </a:solidFill>
              <a:ln w="9525">
                <a:noFill/>
                <a:round/>
              </a:ln>
            </c:spPr>
          </c:dPt>
          <c:dPt>
            <c:idx val="8"/>
            <c:invertIfNegative val="0"/>
            <c:spPr>
              <a:solidFill>
                <a:srgbClr val="69BE28">
                  <a:alpha val="60000"/>
                </a:srgbClr>
              </a:solidFill>
              <a:ln w="9525">
                <a:noFill/>
                <a:round/>
              </a:ln>
            </c:spPr>
          </c:dPt>
          <c:dPt>
            <c:idx val="9"/>
            <c:invertIfNegative val="0"/>
            <c:spPr>
              <a:solidFill>
                <a:srgbClr val="008542">
                  <a:alpha val="60000"/>
                </a:srgbClr>
              </a:solidFill>
              <a:ln w="9525">
                <a:noFill/>
                <a:round/>
              </a:ln>
            </c:spPr>
          </c:dPt>
          <c:dLbls>
            <c:numFmt formatCode="#,##0" sourceLinked="0"/>
            <c:spPr>
              <a:solidFill>
                <a:schemeClr val="bg1"/>
              </a:solidFill>
              <a:ln>
                <a:noFill/>
              </a:ln>
            </c:spPr>
            <c:txPr>
              <a:bodyPr vert="horz" rot="-5400000" anchor="ctr">
                <a:spAutoFit/>
              </a:bodyPr>
              <a:lstStyle/>
              <a:p>
                <a:pPr algn="ctr">
                  <a:defRPr lang="en-US" cap="none" sz="1100" b="0" i="0" u="none" baseline="0">
                    <a:solidFill>
                      <a:srgbClr val="000000"/>
                    </a:solidFill>
                    <a:latin typeface="Fira Sans"/>
                    <a:ea typeface="Fira Sans"/>
                    <a:cs typeface="Fira Sans"/>
                  </a:defRPr>
                </a:pPr>
              </a:p>
            </c:txPr>
            <c:dLblPos val="inEnd"/>
            <c:showLegendKey val="0"/>
            <c:showVal val="1"/>
            <c:showBubbleSize val="0"/>
            <c:showCatName val="0"/>
            <c:showSerName val="0"/>
            <c:showPercent val="0"/>
          </c:dLbls>
          <c:cat>
            <c:strRef>
              <c:f>'Tabela PS'!$W$1:$AF$1</c:f>
              <c:strCache/>
            </c:strRef>
          </c:cat>
          <c:val>
            <c:numRef>
              <c:f>'Tabela PS'!$W$29:$AF$29</c:f>
              <c:numCache/>
            </c:numRef>
          </c:val>
        </c:ser>
        <c:gapWidth val="15"/>
        <c:axId val="10912489"/>
        <c:axId val="31103538"/>
      </c:barChart>
      <c:catAx>
        <c:axId val="1091248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rgbClr val="000000"/>
                </a:solidFill>
                <a:latin typeface="Fira Sans SemiBold"/>
                <a:ea typeface="Fira Sans SemiBold"/>
                <a:cs typeface="Fira Sans SemiBold"/>
              </a:defRPr>
            </a:pPr>
          </a:p>
        </c:txPr>
        <c:crossAx val="31103538"/>
        <c:crosses val="autoZero"/>
        <c:auto val="1"/>
        <c:lblOffset val="100"/>
        <c:noMultiLvlLbl val="0"/>
      </c:catAx>
      <c:valAx>
        <c:axId val="31103538"/>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out"/>
        <c:minorTickMark val="none"/>
        <c:tickLblPos val="nextTo"/>
        <c:spPr>
          <a:noFill/>
          <a:ln w="9525">
            <a:solidFill>
              <a:schemeClr val="tx1">
                <a:lumMod val="65000"/>
                <a:lumOff val="35000"/>
              </a:schemeClr>
            </a:solid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10912489"/>
        <c:crosses val="autoZero"/>
        <c:crossBetween val="between"/>
        <c:dispUnits/>
      </c:valAx>
      <c:spPr>
        <a:noFill/>
        <a:ln>
          <a:noFill/>
        </a:ln>
      </c:spPr>
    </c:plotArea>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1"/>
    <c:plotArea>
      <c:layout>
        <c:manualLayout>
          <c:layoutTarget val="inner"/>
          <c:xMode val="edge"/>
          <c:yMode val="edge"/>
          <c:x val="0.1485"/>
          <c:y val="0.2435"/>
          <c:w val="0.83575"/>
          <c:h val="0.67875"/>
        </c:manualLayout>
      </c:layout>
      <c:barChart>
        <c:barDir val="col"/>
        <c:grouping val="clustered"/>
        <c:varyColors val="0"/>
        <c:ser>
          <c:idx val="0"/>
          <c:order val="0"/>
          <c:spPr>
            <a:solidFill>
              <a:srgbClr val="69BE28"/>
            </a:solidFill>
            <a:ln w="127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a:noFill/>
              </a:ln>
            </c:spPr>
            <c:txPr>
              <a:bodyPr vert="horz" rot="-5400000" anchor="ctr">
                <a:spAutoFit/>
              </a:bodyPr>
              <a:lstStyle/>
              <a:p>
                <a:pPr algn="ctr">
                  <a:defRPr lang="en-US" cap="none" sz="1000" b="0" i="0" u="none" baseline="0">
                    <a:solidFill>
                      <a:schemeClr val="tx1"/>
                    </a:solidFill>
                    <a:latin typeface="Fira Sans SemiBold"/>
                    <a:ea typeface="Fira Sans SemiBold"/>
                    <a:cs typeface="Fira Sans SemiBold"/>
                  </a:defRPr>
                </a:pPr>
              </a:p>
            </c:txPr>
            <c:dLblPos val="outEnd"/>
            <c:showLegendKey val="0"/>
            <c:showVal val="1"/>
            <c:showBubbleSize val="0"/>
            <c:showCatName val="0"/>
            <c:showSerName val="0"/>
            <c:showPercent val="0"/>
          </c:dLbls>
          <c:cat>
            <c:strRef>
              <c:f>'Tabela PS'!$U$3:$U$27</c:f>
              <c:strCache/>
            </c:strRef>
          </c:cat>
          <c:val>
            <c:numRef>
              <c:f>'Tabela PS'!$AH$3:$AH$27</c:f>
              <c:numCache/>
            </c:numRef>
          </c:val>
        </c:ser>
        <c:gapWidth val="50"/>
        <c:axId val="11496387"/>
        <c:axId val="36358620"/>
      </c:barChart>
      <c:catAx>
        <c:axId val="11496387"/>
        <c:scaling>
          <c:orientation val="minMax"/>
        </c:scaling>
        <c:axPos val="b"/>
        <c:majorGridlines>
          <c:spPr>
            <a:ln w="9525" cap="flat" cmpd="sng">
              <a:solidFill>
                <a:schemeClr val="accent3">
                  <a:lumMod val="75000"/>
                </a:schemeClr>
              </a:solidFill>
              <a:prstDash val="lgDash"/>
              <a:round/>
            </a:ln>
          </c:spPr>
        </c:majorGridlines>
        <c:delete val="0"/>
        <c:numFmt formatCode="General" sourceLinked="1"/>
        <c:majorTickMark val="out"/>
        <c:minorTickMark val="none"/>
        <c:tickLblPos val="nextTo"/>
        <c:spPr>
          <a:noFill/>
          <a:ln w="12700" cap="flat" cmpd="sng">
            <a:solidFill>
              <a:schemeClr val="accent4">
                <a:lumMod val="75000"/>
              </a:schemeClr>
            </a:solidFill>
            <a:prstDash val="solid"/>
            <a:miter lim="800000"/>
          </a:ln>
        </c:spPr>
        <c:txPr>
          <a:bodyPr/>
          <a:lstStyle/>
          <a:p>
            <a:pPr>
              <a:defRPr lang="en-US" cap="none" sz="900" b="0" i="0" u="none" baseline="0">
                <a:noFill/>
                <a:latin typeface="+mn-lt"/>
                <a:ea typeface="+mn-cs"/>
                <a:cs typeface="+mn-cs"/>
              </a:defRPr>
            </a:pPr>
          </a:p>
        </c:txPr>
        <c:crossAx val="36358620"/>
        <c:crossesAt val="100"/>
        <c:auto val="1"/>
        <c:lblOffset val="100"/>
        <c:noMultiLvlLbl val="1"/>
      </c:catAx>
      <c:valAx>
        <c:axId val="36358620"/>
        <c:scaling>
          <c:orientation val="minMax"/>
          <c:min val="60"/>
        </c:scaling>
        <c:axPos val="l"/>
        <c:delete val="0"/>
        <c:numFmt formatCode="#,##0.0" sourceLinked="0"/>
        <c:majorTickMark val="out"/>
        <c:minorTickMark val="none"/>
        <c:tickLblPos val="nextTo"/>
        <c:spPr>
          <a:noFill/>
          <a:ln>
            <a:solidFill>
              <a:schemeClr val="tx1">
                <a:lumMod val="65000"/>
                <a:lumOff val="35000"/>
              </a:schemeClr>
            </a:solid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11496387"/>
        <c:crosses val="autoZero"/>
        <c:crossBetween val="between"/>
        <c:dispUnits/>
      </c:valAx>
      <c:spPr>
        <a:noFill/>
        <a:ln>
          <a:noFill/>
        </a:ln>
      </c:spPr>
    </c:plotArea>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25"/>
          <c:y val="0.0185"/>
          <c:w val="0.90675"/>
          <c:h val="0.83125"/>
        </c:manualLayout>
      </c:layout>
      <c:barChart>
        <c:barDir val="col"/>
        <c:grouping val="clustered"/>
        <c:varyColors val="0"/>
        <c:ser>
          <c:idx val="0"/>
          <c:order val="0"/>
          <c:spPr>
            <a:solidFill>
              <a:schemeClr val="bg2">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7AC9"/>
              </a:solidFill>
              <a:ln>
                <a:noFill/>
              </a:ln>
            </c:spPr>
          </c:dPt>
          <c:dPt>
            <c:idx val="1"/>
            <c:invertIfNegative val="0"/>
            <c:spPr>
              <a:solidFill>
                <a:srgbClr val="009AA6"/>
              </a:solidFill>
              <a:ln>
                <a:noFill/>
              </a:ln>
            </c:spPr>
          </c:dPt>
          <c:dLbls>
            <c:numFmt formatCode="#,##0" sourceLinked="0"/>
            <c:spPr>
              <a:solidFill>
                <a:schemeClr val="bg1"/>
              </a:solidFill>
              <a:ln>
                <a:noFill/>
              </a:ln>
            </c:spPr>
            <c:txPr>
              <a:bodyPr vert="horz" rot="-5400000" anchor="ctr">
                <a:spAutoFit/>
              </a:bodyPr>
              <a:lstStyle/>
              <a:p>
                <a:pPr algn="ctr">
                  <a:defRPr lang="en-US" cap="none" sz="1000" b="0" i="0" u="none" baseline="0">
                    <a:solidFill>
                      <a:srgbClr val="000000"/>
                    </a:solidFill>
                    <a:latin typeface="Fira Sans"/>
                    <a:ea typeface="Fira Sans"/>
                    <a:cs typeface="Fira Sans"/>
                  </a:defRPr>
                </a:pPr>
              </a:p>
            </c:txPr>
            <c:dLblPos val="inEnd"/>
            <c:showLegendKey val="0"/>
            <c:showVal val="1"/>
            <c:showBubbleSize val="0"/>
            <c:showCatName val="0"/>
            <c:showSerName val="0"/>
            <c:showPercent val="0"/>
          </c:dLbls>
          <c:cat>
            <c:strRef>
              <c:f>'Rob Inne'!$A$9:$A$10</c:f>
              <c:strCache/>
            </c:strRef>
          </c:cat>
          <c:val>
            <c:numRef>
              <c:f>'Rob Inne'!$B$9:$B$10</c:f>
              <c:numCache/>
            </c:numRef>
          </c:val>
        </c:ser>
        <c:overlap val="-27"/>
        <c:gapWidth val="18"/>
        <c:axId val="58792125"/>
        <c:axId val="59367078"/>
      </c:barChart>
      <c:catAx>
        <c:axId val="5879212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1" i="1" u="none" baseline="0">
                <a:solidFill>
                  <a:schemeClr val="tx1"/>
                </a:solidFill>
                <a:latin typeface="Arial Narrow"/>
                <a:ea typeface="Arial Narrow"/>
                <a:cs typeface="Arial Narrow"/>
              </a:defRPr>
            </a:pPr>
          </a:p>
        </c:txPr>
        <c:crossAx val="59367078"/>
        <c:crosses val="autoZero"/>
        <c:auto val="1"/>
        <c:lblOffset val="100"/>
        <c:noMultiLvlLbl val="0"/>
      </c:catAx>
      <c:valAx>
        <c:axId val="59367078"/>
        <c:scaling>
          <c:orientation val="minMax"/>
        </c:scaling>
        <c:axPos val="l"/>
        <c:delete val="1"/>
        <c:majorTickMark val="none"/>
        <c:minorTickMark val="none"/>
        <c:tickLblPos val="nextTo"/>
        <c:crossAx val="58792125"/>
        <c:crosses val="autoZero"/>
        <c:crossBetween val="between"/>
        <c:dispUnits/>
      </c:valAx>
      <c:spPr>
        <a:noFill/>
        <a:ln>
          <a:noFill/>
        </a:ln>
      </c:spPr>
    </c:plotArea>
    <c:plotVisOnly val="1"/>
    <c:dispBlanksAs val="gap"/>
    <c:showDLblsOverMax val="0"/>
  </c:chart>
  <c:spPr>
    <a:noFill/>
    <a:ln w="9525">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475"/>
          <c:y val="0.04875"/>
          <c:w val="0.81825"/>
          <c:h val="0.8555"/>
        </c:manualLayout>
      </c:layout>
      <c:pieChart>
        <c:varyColors val="1"/>
        <c:ser>
          <c:idx val="0"/>
          <c:order val="0"/>
          <c:spPr>
            <a:solidFill>
              <a:schemeClr val="accent5">
                <a:lumMod val="75000"/>
              </a:schemeClr>
            </a:solidFill>
          </c:spPr>
          <c:explosion val="3"/>
          <c:extLst>
            <c:ext xmlns:c14="http://schemas.microsoft.com/office/drawing/2007/8/2/chart" uri="{6F2FDCE9-48DA-4B69-8628-5D25D57E5C99}">
              <c14:invertSolidFillFmt>
                <c14:spPr>
                  <a:solidFill>
                    <a:srgbClr val="000000"/>
                  </a:solidFill>
                </c14:spPr>
              </c14:invertSolidFillFmt>
            </c:ext>
          </c:extLst>
          <c:dPt>
            <c:idx val="0"/>
            <c:spPr>
              <a:solidFill>
                <a:srgbClr val="007AC9"/>
              </a:solidFill>
            </c:spPr>
          </c:dPt>
          <c:dPt>
            <c:idx val="1"/>
            <c:spPr>
              <a:solidFill>
                <a:srgbClr val="69BE28"/>
              </a:solidFill>
            </c:spPr>
          </c:dPt>
          <c:dLbls>
            <c:dLbl>
              <c:idx val="0"/>
              <c:txPr>
                <a:bodyPr vert="horz" rot="0" wrap="none" anchor="ctr"/>
                <a:lstStyle/>
                <a:p>
                  <a:pPr algn="ctr">
                    <a:defRPr lang="en-US" cap="none" sz="1000" b="0" i="0" u="none" baseline="0">
                      <a:solidFill>
                        <a:srgbClr val="000000"/>
                      </a:solidFill>
                      <a:latin typeface="Fira Sans"/>
                      <a:ea typeface="Fira Sans"/>
                      <a:cs typeface="Fira Sans"/>
                    </a:defRPr>
                  </a:pPr>
                </a:p>
              </c:txPr>
              <c:numFmt formatCode="General" sourceLinked="1"/>
              <c:spPr>
                <a:solidFill>
                  <a:schemeClr val="bg1"/>
                </a:solidFill>
                <a:ln>
                  <a:noFill/>
                </a:ln>
              </c:spPr>
              <c:dLblPos val="ctr"/>
              <c:showLegendKey val="0"/>
              <c:showVal val="0"/>
              <c:showBubbleSize val="0"/>
              <c:showCatName val="1"/>
              <c:showSerName val="0"/>
              <c:showPercent val="1"/>
            </c:dLbl>
            <c:numFmt formatCode="General" sourceLinked="1"/>
            <c:spPr>
              <a:solidFill>
                <a:schemeClr val="bg1"/>
              </a:solidFill>
              <a:ln>
                <a:noFill/>
              </a:ln>
            </c:spPr>
            <c:txPr>
              <a:bodyPr vert="horz" rot="0" wrap="none" anchor="ctr">
                <a:spAutoFit/>
              </a:bodyPr>
              <a:lstStyle/>
              <a:p>
                <a:pPr algn="ctr">
                  <a:defRPr lang="en-US" cap="none" sz="1000" b="0" i="0" u="none" baseline="0">
                    <a:solidFill>
                      <a:srgbClr val="000000"/>
                    </a:solidFill>
                    <a:latin typeface="Fira Sans"/>
                    <a:ea typeface="Fira Sans"/>
                    <a:cs typeface="Fira Sans"/>
                  </a:defRPr>
                </a:pPr>
              </a:p>
            </c:txPr>
            <c:dLblPos val="ctr"/>
            <c:showLegendKey val="0"/>
            <c:showVal val="0"/>
            <c:showBubbleSize val="0"/>
            <c:showCatName val="1"/>
            <c:showSerName val="0"/>
            <c:showLeaderLines val="0"/>
            <c:showPercent val="1"/>
          </c:dLbls>
          <c:cat>
            <c:strRef>
              <c:f>('Rob Inne'!$A$2,'Rob Inne'!$A$5)</c:f>
              <c:strCache/>
            </c:strRef>
          </c:cat>
          <c:val>
            <c:numRef>
              <c:f>('Rob Inne'!$B$2,'Rob Inne'!$B$5)</c:f>
              <c:numCache/>
            </c:numRef>
          </c:val>
        </c:ser>
      </c:pieChart>
      <c:spPr>
        <a:noFill/>
        <a:ln>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225"/>
          <c:y val="0.00875"/>
          <c:w val="0.78725"/>
          <c:h val="0.99125"/>
        </c:manualLayout>
      </c:layout>
      <c:barChart>
        <c:barDir val="col"/>
        <c:grouping val="clustered"/>
        <c:varyColors val="0"/>
        <c:ser>
          <c:idx val="0"/>
          <c:order val="0"/>
          <c:spPr>
            <a:solidFill>
              <a:schemeClr val="tx2">
                <a:lumMod val="60000"/>
                <a:lumOff val="40000"/>
              </a:schemeClr>
            </a:solidFill>
            <a:ln w="9525">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D600"/>
              </a:solidFill>
              <a:ln w="9525">
                <a:noFill/>
                <a:round/>
              </a:ln>
            </c:spPr>
          </c:dPt>
          <c:dPt>
            <c:idx val="1"/>
            <c:invertIfNegative val="0"/>
            <c:spPr>
              <a:solidFill>
                <a:srgbClr val="69BE28"/>
              </a:solidFill>
              <a:ln w="9525">
                <a:noFill/>
                <a:round/>
              </a:ln>
            </c:spPr>
          </c:dPt>
          <c:dPt>
            <c:idx val="2"/>
            <c:invertIfNegative val="0"/>
            <c:spPr>
              <a:solidFill>
                <a:srgbClr val="008542"/>
              </a:solidFill>
              <a:ln w="9525">
                <a:noFill/>
                <a:round/>
              </a:ln>
            </c:spPr>
          </c:dPt>
          <c:dPt>
            <c:idx val="3"/>
            <c:invertIfNegative val="0"/>
            <c:spPr>
              <a:solidFill>
                <a:srgbClr val="009AA6"/>
              </a:solidFill>
              <a:ln w="9525">
                <a:noFill/>
                <a:round/>
              </a:ln>
            </c:spPr>
          </c:dPt>
          <c:dPt>
            <c:idx val="4"/>
            <c:invertIfNegative val="0"/>
            <c:spPr>
              <a:solidFill>
                <a:srgbClr val="007AC9"/>
              </a:solidFill>
              <a:ln w="9525">
                <a:noFill/>
                <a:round/>
              </a:ln>
            </c:spPr>
          </c:dPt>
          <c:dPt>
            <c:idx val="5"/>
            <c:invertIfNegative val="0"/>
            <c:spPr>
              <a:solidFill>
                <a:srgbClr val="001D77"/>
              </a:solidFill>
              <a:ln w="9525">
                <a:noFill/>
                <a:round/>
              </a:ln>
            </c:spPr>
          </c:dPt>
          <c:dPt>
            <c:idx val="6"/>
            <c:invertIfNegative val="0"/>
            <c:spPr>
              <a:solidFill>
                <a:srgbClr val="522398"/>
              </a:solidFill>
              <a:ln w="9525">
                <a:noFill/>
                <a:round/>
              </a:ln>
            </c:spPr>
          </c:dPt>
          <c:dPt>
            <c:idx val="7"/>
            <c:invertIfNegative val="0"/>
            <c:spPr>
              <a:solidFill>
                <a:srgbClr val="BED600">
                  <a:alpha val="60000"/>
                </a:srgbClr>
              </a:solidFill>
              <a:ln w="9525">
                <a:noFill/>
                <a:round/>
              </a:ln>
            </c:spPr>
          </c:dPt>
          <c:dPt>
            <c:idx val="8"/>
            <c:invertIfNegative val="0"/>
            <c:spPr>
              <a:solidFill>
                <a:srgbClr val="69BE28">
                  <a:alpha val="60000"/>
                </a:srgbClr>
              </a:solidFill>
              <a:ln w="9525">
                <a:noFill/>
                <a:round/>
              </a:ln>
            </c:spPr>
          </c:dPt>
          <c:dPt>
            <c:idx val="9"/>
            <c:invertIfNegative val="0"/>
            <c:spPr>
              <a:solidFill>
                <a:srgbClr val="008542">
                  <a:alpha val="60000"/>
                </a:srgbClr>
              </a:solidFill>
              <a:ln w="9525">
                <a:noFill/>
                <a:round/>
              </a:ln>
            </c:spPr>
          </c:dPt>
          <c:dLbls>
            <c:numFmt formatCode="#,##0" sourceLinked="0"/>
            <c:spPr>
              <a:solidFill>
                <a:schemeClr val="bg1"/>
              </a:solidFill>
              <a:ln>
                <a:noFill/>
              </a:ln>
            </c:spPr>
            <c:txPr>
              <a:bodyPr vert="horz" rot="-5400000" anchor="ctr">
                <a:spAutoFit/>
              </a:bodyPr>
              <a:lstStyle/>
              <a:p>
                <a:pPr algn="ctr">
                  <a:defRPr lang="en-US" cap="none" sz="1000" b="0" i="0" u="none" baseline="0">
                    <a:solidFill>
                      <a:schemeClr val="tx1"/>
                    </a:solidFill>
                    <a:latin typeface="Fira Sans"/>
                    <a:ea typeface="Fira Sans"/>
                    <a:cs typeface="Fira Sans"/>
                  </a:defRPr>
                </a:pPr>
              </a:p>
            </c:txPr>
            <c:dLblPos val="inEnd"/>
            <c:showLegendKey val="0"/>
            <c:showVal val="1"/>
            <c:showBubbleSize val="0"/>
            <c:showCatName val="0"/>
            <c:showSerName val="0"/>
            <c:showPercent val="0"/>
          </c:dLbls>
          <c:cat>
            <c:strRef>
              <c:f>'Rob Inne'!$F$1:$O$1</c:f>
              <c:strCache/>
            </c:strRef>
          </c:cat>
          <c:val>
            <c:numRef>
              <c:f>'Rob Inne'!$F$2:$O$2</c:f>
              <c:numCache/>
            </c:numRef>
          </c:val>
        </c:ser>
        <c:gapWidth val="10"/>
        <c:axId val="64541655"/>
        <c:axId val="44003984"/>
      </c:barChart>
      <c:catAx>
        <c:axId val="64541655"/>
        <c:scaling>
          <c:orientation val="minMax"/>
        </c:scaling>
        <c:axPos val="b"/>
        <c:delete val="0"/>
        <c:numFmt formatCode="General" sourceLinked="1"/>
        <c:majorTickMark val="out"/>
        <c:minorTickMark val="none"/>
        <c:tickLblPos val="nextTo"/>
        <c:spPr>
          <a:noFill/>
          <a:ln w="12700" cap="flat" cmpd="sng">
            <a:solidFill>
              <a:schemeClr val="tx1">
                <a:lumMod val="75000"/>
                <a:lumOff val="25000"/>
              </a:schemeClr>
            </a:solidFill>
            <a:round/>
          </a:ln>
        </c:spPr>
        <c:txPr>
          <a:bodyPr/>
          <a:lstStyle/>
          <a:p>
            <a:pPr>
              <a:defRPr lang="en-US" cap="all" sz="800" b="1" i="0" u="none" baseline="0">
                <a:solidFill>
                  <a:schemeClr val="tx1">
                    <a:lumMod val="75000"/>
                    <a:lumOff val="25000"/>
                  </a:schemeClr>
                </a:solidFill>
                <a:latin typeface="Fira Sans SemiBold"/>
                <a:ea typeface="Fira Sans SemiBold"/>
                <a:cs typeface="Fira Sans SemiBold"/>
              </a:defRPr>
            </a:pPr>
          </a:p>
        </c:txPr>
        <c:crossAx val="44003984"/>
        <c:crosses val="autoZero"/>
        <c:auto val="1"/>
        <c:lblOffset val="100"/>
        <c:noMultiLvlLbl val="0"/>
      </c:catAx>
      <c:valAx>
        <c:axId val="44003984"/>
        <c:scaling>
          <c:orientation val="minMax"/>
        </c:scaling>
        <c:axPos val="l"/>
        <c:majorGridlines>
          <c:spPr>
            <a:ln w="9525" cap="flat" cmpd="sng">
              <a:gradFill rotWithShape="1">
                <a:gsLst>
                  <a:gs pos="100000">
                    <a:schemeClr val="tx1">
                      <a:lumMod val="95000"/>
                      <a:lumOff val="5000"/>
                      <a:alpha val="42000"/>
                    </a:schemeClr>
                  </a:gs>
                  <a:gs pos="0">
                    <a:schemeClr val="bg1">
                      <a:lumMod val="75000"/>
                      <a:alpha val="36000"/>
                    </a:schemeClr>
                  </a:gs>
                </a:gsLst>
                <a:lin ang="5400000"/>
              </a:gradFill>
              <a:round/>
            </a:ln>
          </c:spPr>
        </c:majorGridlines>
        <c:delete val="0"/>
        <c:numFmt formatCode="#,##0" sourceLinked="0"/>
        <c:majorTickMark val="out"/>
        <c:minorTickMark val="none"/>
        <c:tickLblPos val="nextTo"/>
        <c:spPr>
          <a:noFill/>
          <a:ln>
            <a:noFill/>
          </a:ln>
        </c:spPr>
        <c:txPr>
          <a:bodyPr/>
          <a:lstStyle/>
          <a:p>
            <a:pPr>
              <a:defRPr lang="en-US" cap="none" sz="900" b="0" i="0" u="none" baseline="0">
                <a:solidFill>
                  <a:schemeClr val="tx1">
                    <a:lumMod val="75000"/>
                    <a:lumOff val="25000"/>
                  </a:schemeClr>
                </a:solidFill>
                <a:latin typeface="Fira Sans SemiBold"/>
                <a:ea typeface="Fira Sans SemiBold"/>
                <a:cs typeface="Fira Sans SemiBold"/>
              </a:defRPr>
            </a:pPr>
          </a:p>
        </c:txPr>
        <c:crossAx val="64541655"/>
        <c:crosses val="autoZero"/>
        <c:crossBetween val="between"/>
        <c:dispUnits/>
      </c:valAx>
      <c:spPr>
        <a:noFill/>
        <a:ln>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75"/>
          <c:y val="0"/>
          <c:w val="0.7795"/>
          <c:h val="1"/>
        </c:manualLayout>
      </c:layout>
      <c:barChart>
        <c:barDir val="col"/>
        <c:grouping val="clustered"/>
        <c:varyColors val="0"/>
        <c:ser>
          <c:idx val="1"/>
          <c:order val="0"/>
          <c:spPr>
            <a:solidFill>
              <a:schemeClr val="accent6">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69BE28"/>
              </a:solidFill>
              <a:ln>
                <a:noFill/>
              </a:ln>
            </c:spPr>
          </c:dPt>
          <c:dPt>
            <c:idx val="1"/>
            <c:invertIfNegative val="0"/>
            <c:spPr>
              <a:solidFill>
                <a:srgbClr val="008542"/>
              </a:solidFill>
              <a:ln>
                <a:noFill/>
              </a:ln>
            </c:spPr>
          </c:dPt>
          <c:dPt>
            <c:idx val="2"/>
            <c:invertIfNegative val="0"/>
            <c:spPr>
              <a:solidFill>
                <a:srgbClr val="009AA6"/>
              </a:solidFill>
              <a:ln>
                <a:noFill/>
              </a:ln>
            </c:spPr>
          </c:dPt>
          <c:dPt>
            <c:idx val="3"/>
            <c:invertIfNegative val="0"/>
            <c:spPr>
              <a:solidFill>
                <a:srgbClr val="007AC9"/>
              </a:solidFill>
              <a:ln>
                <a:noFill/>
              </a:ln>
            </c:spPr>
          </c:dPt>
          <c:dPt>
            <c:idx val="4"/>
            <c:invertIfNegative val="0"/>
            <c:spPr>
              <a:solidFill>
                <a:srgbClr val="001D77"/>
              </a:solidFill>
              <a:ln>
                <a:noFill/>
              </a:ln>
            </c:spPr>
          </c:dPt>
          <c:dPt>
            <c:idx val="5"/>
            <c:invertIfNegative val="0"/>
            <c:spPr>
              <a:solidFill>
                <a:srgbClr val="522398"/>
              </a:solidFill>
              <a:ln>
                <a:noFill/>
              </a:ln>
            </c:spPr>
          </c:dPt>
          <c:dPt>
            <c:idx val="6"/>
            <c:invertIfNegative val="0"/>
            <c:spPr>
              <a:solidFill>
                <a:srgbClr val="BED600">
                  <a:alpha val="60000"/>
                </a:srgbClr>
              </a:solidFill>
              <a:ln>
                <a:noFill/>
              </a:ln>
            </c:spPr>
          </c:dPt>
          <c:dPt>
            <c:idx val="7"/>
            <c:invertIfNegative val="0"/>
            <c:spPr>
              <a:solidFill>
                <a:srgbClr val="69BE28">
                  <a:alpha val="60000"/>
                </a:srgbClr>
              </a:solidFill>
              <a:ln>
                <a:noFill/>
              </a:ln>
            </c:spPr>
          </c:dPt>
          <c:dPt>
            <c:idx val="8"/>
            <c:invertIfNegative val="0"/>
            <c:spPr>
              <a:solidFill>
                <a:srgbClr val="008542">
                  <a:alpha val="60000"/>
                </a:srgbClr>
              </a:solidFill>
              <a:ln>
                <a:noFill/>
              </a:ln>
            </c:spPr>
          </c:dPt>
          <c:dLbls>
            <c:numFmt formatCode="#,##0.0" sourceLinked="0"/>
            <c:spPr>
              <a:noFill/>
              <a:ln>
                <a:noFill/>
              </a:ln>
            </c:spPr>
            <c:txPr>
              <a:bodyPr vert="horz" rot="-5400000" anchor="ctr">
                <a:spAutoFit/>
              </a:bodyPr>
              <a:lstStyle/>
              <a:p>
                <a:pPr algn="ctr">
                  <a:defRPr lang="en-US" cap="none" sz="1000" b="0" i="0" u="none" baseline="0">
                    <a:solidFill>
                      <a:srgbClr val="000000"/>
                    </a:solidFill>
                    <a:latin typeface="Fira Sans"/>
                    <a:ea typeface="Fira Sans"/>
                    <a:cs typeface="Fira Sans"/>
                  </a:defRPr>
                </a:pPr>
              </a:p>
            </c:txPr>
            <c:dLblPos val="outEnd"/>
            <c:showLegendKey val="0"/>
            <c:showVal val="1"/>
            <c:showBubbleSize val="0"/>
            <c:showCatName val="0"/>
            <c:showSerName val="0"/>
            <c:showPercent val="0"/>
          </c:dLbls>
          <c:cat>
            <c:strRef>
              <c:f>'Rob Inne'!$P$1:$X$1</c:f>
              <c:strCache/>
            </c:strRef>
          </c:cat>
          <c:val>
            <c:numRef>
              <c:f>'Rob Inne'!$P$2:$X$2</c:f>
              <c:numCache/>
            </c:numRef>
          </c:val>
        </c:ser>
        <c:gapWidth val="10"/>
        <c:axId val="60491537"/>
        <c:axId val="7552922"/>
      </c:barChart>
      <c:catAx>
        <c:axId val="60491537"/>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low"/>
        <c:spPr>
          <a:noFill/>
          <a:ln w="12700" cap="flat" cmpd="sng">
            <a:solidFill>
              <a:srgbClr val="000000"/>
            </a:solidFill>
            <a:round/>
          </a:ln>
        </c:spPr>
        <c:txPr>
          <a:bodyPr/>
          <a:lstStyle/>
          <a:p>
            <a:pPr>
              <a:defRPr lang="en-US" cap="none" sz="900" b="1" i="0" u="none" baseline="0">
                <a:solidFill>
                  <a:schemeClr val="tx1">
                    <a:lumMod val="75000"/>
                    <a:lumOff val="25000"/>
                  </a:schemeClr>
                </a:solidFill>
                <a:latin typeface="Fira Sans SemiBold"/>
                <a:ea typeface="Fira Sans SemiBold"/>
                <a:cs typeface="Fira Sans SemiBold"/>
              </a:defRPr>
            </a:pPr>
          </a:p>
        </c:txPr>
        <c:crossAx val="7552922"/>
        <c:crossesAt val="100"/>
        <c:auto val="1"/>
        <c:lblOffset val="100"/>
        <c:noMultiLvlLbl val="0"/>
      </c:catAx>
      <c:valAx>
        <c:axId val="7552922"/>
        <c:scaling>
          <c:orientation val="minMax"/>
        </c:scaling>
        <c:axPos val="l"/>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Fira Sans SemiBold"/>
                <a:ea typeface="Fira Sans SemiBold"/>
                <a:cs typeface="Fira Sans SemiBold"/>
              </a:defRPr>
            </a:pPr>
          </a:p>
        </c:txPr>
        <c:crossAx val="60491537"/>
        <c:crosses val="autoZero"/>
        <c:crossBetween val="between"/>
        <c:dispUnits/>
      </c:valAx>
      <c:spPr>
        <a:noFill/>
        <a:ln w="25400">
          <a:noFill/>
        </a:ln>
      </c:spPr>
    </c:plotArea>
    <c:plotVisOnly val="1"/>
    <c:dispBlanksAs val="gap"/>
    <c:showDLblsOverMax val="0"/>
  </c:chart>
  <c:spPr>
    <a:noFill/>
    <a:ln w="12700">
      <a:noFill/>
      <a:round/>
    </a:ln>
  </c:spPr>
  <c:lang xmlns:c="http://schemas.openxmlformats.org/drawingml/2006/chart" val="pl-PL"/>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10" dropStyle="combo" dx="16" fmlaLink="'Słownik PW'!$A$25" fmlaRange="'Słownik PW'!$A$15:$A$24" sel="10" val="0"/>
</file>

<file path=xl/ctrlProps/ctrlProp10.xml><?xml version="1.0" encoding="utf-8"?>
<formControlPr xmlns="http://schemas.microsoft.com/office/spreadsheetml/2009/9/main" objectType="CheckBox" checked="Checked" fmlaLink="'Tabela PS'!$AZ$1" lockText="1"/>
</file>

<file path=xl/ctrlProps/ctrlProp11.xml><?xml version="1.0" encoding="utf-8"?>
<formControlPr xmlns="http://schemas.microsoft.com/office/spreadsheetml/2009/9/main" objectType="Drop" dropLines="30" dropStyle="combo" dx="16" fmlaLink="'Rob Inne'!$B$7" fmlaRange="'Rob Inne'!$C$2:$C$671" sel="143" val="132"/>
</file>

<file path=xl/ctrlProps/ctrlProp12.xml><?xml version="1.0" encoding="utf-8"?>
<formControlPr xmlns="http://schemas.microsoft.com/office/spreadsheetml/2009/9/main" objectType="Drop" dropLines="30" dropStyle="combo" dx="16" fmlaLink="'Rob Inne'!$B$14" fmlaRange="'Rob Inne'!$D$2:$D$345" sel="111" val="110"/>
</file>

<file path=xl/ctrlProps/ctrlProp2.xml><?xml version="1.0" encoding="utf-8"?>
<formControlPr xmlns="http://schemas.microsoft.com/office/spreadsheetml/2009/9/main" objectType="Drop" dropLines="35" dropStyle="combo" dx="16" fmlaLink="'Słownik PW'!$A$4" fmlaRange="Dział" sel="4" val="0"/>
</file>

<file path=xl/ctrlProps/ctrlProp3.xml><?xml version="1.0" encoding="utf-8"?>
<formControlPr xmlns="http://schemas.microsoft.com/office/spreadsheetml/2009/9/main" objectType="Drop" dropLines="20" dropStyle="combo" dx="16" fmlaLink="'Słownik PW'!$A$7" fmlaRange="'Słownik PW'!$J$2:$J$119" sel="0" val="0"/>
</file>

<file path=xl/ctrlProps/ctrlProp4.xml><?xml version="1.0" encoding="utf-8"?>
<formControlPr xmlns="http://schemas.microsoft.com/office/spreadsheetml/2009/9/main" objectType="CheckBox" checked="Checked" fmlaLink="'Słownik PW'!$A$11" lockText="1"/>
</file>

<file path=xl/ctrlProps/ctrlProp5.xml><?xml version="1.0" encoding="utf-8"?>
<formControlPr xmlns="http://schemas.microsoft.com/office/spreadsheetml/2009/9/main" objectType="Radio" firstButton="1" fmlaLink="'Słownik PW'!$A$7"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Drop" dropLines="10" dropStyle="combo" dx="16" fmlaLink="'Słownik PW'!$A$29" fmlaRange="'Słownik PW'!$AM$2:$AM$76" sel="16" val="8"/>
</file>

<file path=xl/ctrlProps/ctrlProp8.xml><?xml version="1.0" encoding="utf-8"?>
<formControlPr xmlns="http://schemas.microsoft.com/office/spreadsheetml/2009/9/main" objectType="Drop" dropLines="28" dropStyle="combo" dx="16" fmlaLink="'Tabela PS'!$S$30" fmlaRange="'Tabela PS'!$T$2:$T$27" sel="14" val="0"/>
</file>

<file path=xl/ctrlProps/ctrlProp9.xml><?xml version="1.0" encoding="utf-8"?>
<formControlPr xmlns="http://schemas.microsoft.com/office/spreadsheetml/2009/9/main" objectType="Drop" dropLines="10" dropStyle="combo" dx="16" fmlaLink="'Tabela PS'!$S$42" fmlaRange="'Tabela PS'!$S$31:$S$40" sel="10" val="0"/>
</file>

<file path=xl/drawings/_rels/drawing1.xml.rels><?xml version="1.0" encoding="utf-8" standalone="yes"?><Relationships xmlns="http://schemas.openxmlformats.org/package/2006/relationships"><Relationship Id="rId1" Type="http://schemas.openxmlformats.org/officeDocument/2006/relationships/hyperlink" Target="#'Produkcja wytworzona - ilo&#347;&#263;'!D2" /><Relationship Id="rId2" Type="http://schemas.openxmlformats.org/officeDocument/2006/relationships/image" Target="../media/image5.png" /><Relationship Id="rId3" Type="http://schemas.openxmlformats.org/officeDocument/2006/relationships/hyperlink" Target="#'Produkcja sprzedana - warto&#347;&#263;'!B2" /><Relationship Id="rId4" Type="http://schemas.openxmlformats.org/officeDocument/2006/relationships/hyperlink" Target="https://ec.europa.eu/eurostat/web/prodcom/data/excel-files-nace-rev.2" TargetMode="External" /><Relationship Id="rId5" Type="http://schemas.openxmlformats.org/officeDocument/2006/relationships/image" Target="../media/image6.png" /><Relationship Id="rId6" Type="http://schemas.openxmlformats.org/officeDocument/2006/relationships/hyperlink" Target="#'Por&#243;wnaj swoje dane'!C3"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hyperlink" Target="https://www.youtube.com/channel/UC0wiQMElFgYszpAoYgTnXtg/featured" TargetMode="External" /><Relationship Id="rId10" Type="http://schemas.openxmlformats.org/officeDocument/2006/relationships/hyperlink" Target="https://www.youtube.com/channel/UC0wiQMElFgYszpAoYgTnXtg/featured" TargetMode="External" /><Relationship Id="rId11" Type="http://schemas.openxmlformats.org/officeDocument/2006/relationships/image" Target="../media/image9.png" /><Relationship Id="rId12" Type="http://schemas.openxmlformats.org/officeDocument/2006/relationships/image" Target="../media/image10.png" /><Relationship Id="rId13" Type="http://schemas.openxmlformats.org/officeDocument/2006/relationships/hyperlink" Target="https://www.facebook.com/GlownyUrzadStatystyczny/" TargetMode="External" /><Relationship Id="rId14" Type="http://schemas.openxmlformats.org/officeDocument/2006/relationships/hyperlink" Target="https://www.facebook.com/GlownyUrzadStatystyczny/" TargetMode="External" /><Relationship Id="rId15" Type="http://schemas.openxmlformats.org/officeDocument/2006/relationships/image" Target="../media/image11.png" /><Relationship Id="rId16" Type="http://schemas.openxmlformats.org/officeDocument/2006/relationships/hyperlink" Target="https://twitter.com/Wroclaw_STAT" TargetMode="External" /><Relationship Id="rId17" Type="http://schemas.openxmlformats.org/officeDocument/2006/relationships/hyperlink" Target="https://twitter.com/Wroclaw_STAT" TargetMode="External" /><Relationship Id="rId18"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microsoft.com/office/2007/relationships/hdphoto" Target="../media/hdphoto1.wdp" /><Relationship Id="rId4" Type="http://schemas.openxmlformats.org/officeDocument/2006/relationships/image" Target="../media/image1.png" /><Relationship Id="rId5" Type="http://schemas.openxmlformats.org/officeDocument/2006/relationships/chart" Target="/xl/charts/chart2.xml" /><Relationship Id="rId6"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3.png" /><Relationship Id="rId6" Type="http://schemas.microsoft.com/office/2007/relationships/hdphoto" Target="../media/hdphoto1.wdp"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1.png" /><Relationship Id="rId7" Type="http://schemas.openxmlformats.org/officeDocument/2006/relationships/image" Target="../media/image2.png" /><Relationship Id="rId8" Type="http://schemas.openxmlformats.org/officeDocument/2006/relationships/chart" Target="/xl/charts/chart11.xml" /><Relationship Id="rId9" Type="http://schemas.openxmlformats.org/officeDocument/2006/relationships/chart" Target="/xl/charts/chart12.xml" /><Relationship Id="rId10" Type="http://schemas.openxmlformats.org/officeDocument/2006/relationships/chart" Target="/xl/charts/chart13.xml" /><Relationship Id="rId11" Type="http://schemas.openxmlformats.org/officeDocument/2006/relationships/chart" Target="/xl/charts/chart14.xml" /><Relationship Id="rId12" Type="http://schemas.openxmlformats.org/officeDocument/2006/relationships/chart" Target="/xl/charts/chart1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0</xdr:rowOff>
    </xdr:from>
    <xdr:to>
      <xdr:col>3</xdr:col>
      <xdr:colOff>285750</xdr:colOff>
      <xdr:row>10</xdr:row>
      <xdr:rowOff>38100</xdr:rowOff>
    </xdr:to>
    <xdr:sp macro="" textlink="">
      <xdr:nvSpPr>
        <xdr:cNvPr id="17" name="Prostokąt: zaokrąglone rogi 16">
          <a:hlinkClick r:id="rId1"/>
        </xdr:cNvPr>
        <xdr:cNvSpPr/>
      </xdr:nvSpPr>
      <xdr:spPr>
        <a:xfrm>
          <a:off x="295275" y="2476500"/>
          <a:ext cx="4505325" cy="1438275"/>
        </a:xfrm>
        <a:prstGeom prst="roundRect">
          <a:avLst>
            <a:gd name="adj" fmla="val 7247"/>
          </a:avLst>
        </a:prstGeom>
        <a:solidFill>
          <a:srgbClr val="D5FCFF"/>
        </a:solidFill>
        <a:ln>
          <a:noFill/>
        </a:ln>
        <a:scene3d>
          <a:camera prst="orthographicFront">
            <a:rot lat="0" lon="0" rev="0"/>
          </a:camera>
          <a:lightRig rig="contrasting" dir="t">
            <a:rot lat="0" lon="0" rev="7800000"/>
          </a:lightRig>
        </a:scene3d>
        <a:sp3d>
          <a:bevelT w="139700" h="139700"/>
        </a:sp3d>
      </xdr:spPr>
      <xdr:style>
        <a:lnRef idx="1">
          <a:schemeClr val="accent3"/>
        </a:lnRef>
        <a:fillRef idx="2">
          <a:schemeClr val="accent3"/>
        </a:fillRef>
        <a:effectRef idx="1">
          <a:schemeClr val="accent3"/>
        </a:effectRef>
        <a:fontRef idx="minor">
          <a:schemeClr val="tx1"/>
        </a:fontRef>
      </xdr:style>
      <xdr:txBody>
        <a:bodyPr vertOverflow="clip" horzOverflow="clip" rtlCol="0" anchor="b"/>
        <a:lstStyle/>
        <a:p>
          <a:pPr algn="ctr"/>
          <a:r>
            <a:rPr lang="pl-PL" sz="1400" b="0" i="0" cap="none" spc="50">
              <a:ln w="0"/>
              <a:solidFill>
                <a:schemeClr val="tx1"/>
              </a:solidFill>
              <a:effectLst>
                <a:innerShdw blurRad="63500" dist="50800" dir="13500000">
                  <a:srgbClr val="000000">
                    <a:alpha val="50000"/>
                  </a:srgbClr>
                </a:innerShdw>
              </a:effectLst>
              <a:latin typeface="Fira Sans SemiBold" panose="020B0603050000020004" pitchFamily="34" charset="0"/>
              <a:ea typeface="Fira Sans SemiBold" panose="020B0603050000020004" pitchFamily="34" charset="0"/>
            </a:rPr>
            <a:t>PRODUKCJA WYTWORZONA - ILOŚĆ</a:t>
          </a:r>
        </a:p>
        <a:p>
          <a:pPr algn="ctr"/>
          <a:endParaRPr lang="pl-PL" sz="1000" b="1" i="1" cap="none" spc="50">
            <a:ln w="0"/>
            <a:solidFill>
              <a:schemeClr val="tx1">
                <a:lumMod val="75000"/>
                <a:lumOff val="25000"/>
              </a:schemeClr>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endParaRPr>
        </a:p>
        <a:p>
          <a:pPr algn="ctr"/>
          <a:endParaRPr lang="pl-PL" sz="1000" b="1" i="1" cap="none" spc="50">
            <a:ln w="0"/>
            <a:solidFill>
              <a:schemeClr val="tx1">
                <a:lumMod val="75000"/>
                <a:lumOff val="25000"/>
              </a:schemeClr>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endParaRPr>
        </a:p>
        <a:p>
          <a:pPr algn="ctr"/>
          <a:r>
            <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arkusz</a:t>
          </a:r>
          <a:r>
            <a:rPr lang="pl-PL" sz="1000" b="0" i="0" cap="none" spc="50" baseline="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 zawiera dane dotyczące produkcji wytworzonej wybranych wyrobów przemysłowych w Polsce w latach </a:t>
          </a:r>
          <a:r>
            <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2010 - 2019</a:t>
          </a:r>
        </a:p>
        <a:p>
          <a:pPr algn="ctr"/>
          <a:endPar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endParaRPr>
        </a:p>
        <a:p>
          <a:pPr algn="ctr"/>
          <a:r>
            <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(dane GUS wg nomenklatury PRODPOL)</a:t>
          </a:r>
        </a:p>
        <a:p>
          <a:pPr algn="ctr"/>
          <a:endParaRPr lang="pl-PL" sz="500" b="1" i="1" cap="none" spc="50">
            <a:ln w="0"/>
            <a:solidFill>
              <a:schemeClr val="tx1">
                <a:lumMod val="50000"/>
                <a:lumOff val="50000"/>
              </a:schemeClr>
            </a:solidFill>
            <a:effectLst>
              <a:innerShdw blurRad="63500" dist="50800" dir="13500000">
                <a:srgbClr val="000000">
                  <a:alpha val="50000"/>
                </a:srgbClr>
              </a:innerShdw>
            </a:effectLst>
            <a:latin typeface="Arial Narrow" panose="020B0606020202030204" pitchFamily="34" charset="0"/>
          </a:endParaRPr>
        </a:p>
      </xdr:txBody>
    </xdr:sp>
    <xdr:clientData/>
  </xdr:twoCellAnchor>
  <xdr:twoCellAnchor editAs="oneCell">
    <xdr:from>
      <xdr:col>2</xdr:col>
      <xdr:colOff>1143000</xdr:colOff>
      <xdr:row>3</xdr:row>
      <xdr:rowOff>171450</xdr:rowOff>
    </xdr:from>
    <xdr:to>
      <xdr:col>3</xdr:col>
      <xdr:colOff>200025</xdr:colOff>
      <xdr:row>6</xdr:row>
      <xdr:rowOff>9525</xdr:rowOff>
    </xdr:to>
    <xdr:pic>
      <xdr:nvPicPr>
        <xdr:cNvPr id="25" name="Obraz 24" descr="C:\Users\Karo\AppData\Local\Microsoft\Windows\Temporary Internet Files\Low\Content.IE5\7P69AUD0\MM900283191[1].GIF"/>
        <xdr:cNvPicPr preferRelativeResize="1">
          <a:picLocks noChangeAspect="1"/>
        </xdr:cNvPicPr>
      </xdr:nvPicPr>
      <xdr:blipFill>
        <a:blip r:embed="rId2"/>
        <a:stretch>
          <a:fillRect/>
        </a:stretch>
      </xdr:blipFill>
      <xdr:spPr bwMode="auto">
        <a:xfrm>
          <a:off x="4181475" y="2647950"/>
          <a:ext cx="533400" cy="495300"/>
        </a:xfrm>
        <a:prstGeom prst="rect">
          <a:avLst/>
        </a:prstGeom>
        <a:noFill/>
        <a:ln w="9525">
          <a:noFill/>
        </a:ln>
      </xdr:spPr>
    </xdr:pic>
    <xdr:clientData/>
  </xdr:twoCellAnchor>
  <xdr:twoCellAnchor>
    <xdr:from>
      <xdr:col>3</xdr:col>
      <xdr:colOff>390525</xdr:colOff>
      <xdr:row>3</xdr:row>
      <xdr:rowOff>28575</xdr:rowOff>
    </xdr:from>
    <xdr:to>
      <xdr:col>6</xdr:col>
      <xdr:colOff>171450</xdr:colOff>
      <xdr:row>10</xdr:row>
      <xdr:rowOff>66675</xdr:rowOff>
    </xdr:to>
    <xdr:sp macro="" textlink="">
      <xdr:nvSpPr>
        <xdr:cNvPr id="29" name="Prostokąt: zaokrąglone rogi 28">
          <a:hlinkClick r:id="rId3"/>
        </xdr:cNvPr>
        <xdr:cNvSpPr/>
      </xdr:nvSpPr>
      <xdr:spPr>
        <a:xfrm>
          <a:off x="4905375" y="2505075"/>
          <a:ext cx="4495800" cy="1438275"/>
        </a:xfrm>
        <a:prstGeom prst="roundRect">
          <a:avLst>
            <a:gd name="adj" fmla="val 7247"/>
          </a:avLst>
        </a:prstGeom>
        <a:solidFill>
          <a:srgbClr val="CDEFB3"/>
        </a:solidFill>
        <a:ln>
          <a:noFill/>
        </a:ln>
        <a:scene3d>
          <a:camera prst="orthographicFront">
            <a:rot lat="0" lon="0" rev="0"/>
          </a:camera>
          <a:lightRig rig="contrasting" dir="t">
            <a:rot lat="0" lon="0" rev="7800000"/>
          </a:lightRig>
        </a:scene3d>
        <a:sp3d>
          <a:bevelT w="139700" h="139700"/>
        </a:sp3d>
      </xdr:spPr>
      <xdr:style>
        <a:lnRef idx="1">
          <a:schemeClr val="accent3"/>
        </a:lnRef>
        <a:fillRef idx="2">
          <a:schemeClr val="accent3"/>
        </a:fillRef>
        <a:effectRef idx="1">
          <a:schemeClr val="accent3"/>
        </a:effectRef>
        <a:fontRef idx="minor">
          <a:schemeClr val="tx1"/>
        </a:fontRef>
      </xdr:style>
      <xdr:txBody>
        <a:bodyPr vertOverflow="clip" horzOverflow="clip" rtlCol="0" anchor="b"/>
        <a:lstStyle/>
        <a:p>
          <a:pPr algn="ctr"/>
          <a:r>
            <a:rPr lang="pl-PL" sz="1400" b="0" i="0" cap="none" spc="50">
              <a:ln w="0"/>
              <a:solidFill>
                <a:schemeClr val="tx1"/>
              </a:solidFill>
              <a:effectLst>
                <a:innerShdw blurRad="63500" dist="50800" dir="13500000">
                  <a:srgbClr val="000000">
                    <a:alpha val="50000"/>
                  </a:srgbClr>
                </a:innerShdw>
              </a:effectLst>
              <a:latin typeface="Fira Sans SemiBold" panose="020B0603050000020004" pitchFamily="34" charset="0"/>
              <a:ea typeface="Fira Sans SemiBold" panose="020B0603050000020004" pitchFamily="34" charset="0"/>
            </a:rPr>
            <a:t>PRODUKCJA SPRZEDANA - WARTOŚĆ</a:t>
          </a:r>
        </a:p>
        <a:p>
          <a:pPr algn="ctr"/>
          <a:endParaRPr lang="pl-PL" sz="1600" b="0" i="0" cap="none" spc="50">
            <a:ln w="0"/>
            <a:solidFill>
              <a:schemeClr val="tx1"/>
            </a:solidFill>
            <a:effectLst>
              <a:innerShdw blurRad="63500" dist="50800" dir="13500000">
                <a:srgbClr val="000000">
                  <a:alpha val="50000"/>
                </a:srgbClr>
              </a:innerShdw>
            </a:effectLst>
            <a:latin typeface="Arial Narrow" panose="020B0606020202030204" pitchFamily="34" charset="0"/>
          </a:endParaRPr>
        </a:p>
        <a:p>
          <a:pPr algn="ctr"/>
          <a:r>
            <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arkusz zawiera dane ogólnopolskie dotyczące wartości produkcji sprzedanej działów,</a:t>
          </a:r>
          <a:r>
            <a:rPr lang="pl-PL" sz="1000" b="0" i="0" cap="none" spc="50" baseline="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 grup i klas wg PKWiU wybranych wyrobów przemysłowych w latach 2010 - 2019</a:t>
          </a:r>
        </a:p>
        <a:p>
          <a:pPr algn="ctr"/>
          <a:endParaRPr lang="pl-PL" sz="1000" b="0" i="0" cap="none" spc="50" baseline="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endParaRPr>
        </a:p>
        <a:p>
          <a:pPr algn="ctr"/>
          <a:r>
            <a:rPr lang="pl-PL" sz="1000" b="0" i="0" cap="none" spc="50" baseline="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(dane GUS wg nomenklatury PRODPOL)</a:t>
          </a:r>
        </a:p>
      </xdr:txBody>
    </xdr:sp>
    <xdr:clientData/>
  </xdr:twoCellAnchor>
  <xdr:twoCellAnchor>
    <xdr:from>
      <xdr:col>0</xdr:col>
      <xdr:colOff>276225</xdr:colOff>
      <xdr:row>10</xdr:row>
      <xdr:rowOff>171450</xdr:rowOff>
    </xdr:from>
    <xdr:to>
      <xdr:col>3</xdr:col>
      <xdr:colOff>266700</xdr:colOff>
      <xdr:row>17</xdr:row>
      <xdr:rowOff>200025</xdr:rowOff>
    </xdr:to>
    <xdr:sp macro="" textlink="">
      <xdr:nvSpPr>
        <xdr:cNvPr id="36" name="Prostokąt: zaokrąglone rogi 35">
          <a:hlinkClick r:id="rId4"/>
        </xdr:cNvPr>
        <xdr:cNvSpPr/>
      </xdr:nvSpPr>
      <xdr:spPr>
        <a:xfrm>
          <a:off x="276225" y="4048125"/>
          <a:ext cx="4505325" cy="1438275"/>
        </a:xfrm>
        <a:prstGeom prst="roundRect">
          <a:avLst>
            <a:gd name="adj" fmla="val 7247"/>
          </a:avLst>
        </a:prstGeom>
        <a:solidFill>
          <a:srgbClr val="F7FFB9"/>
        </a:solidFill>
        <a:ln>
          <a:noFill/>
        </a:ln>
        <a:scene3d>
          <a:camera prst="orthographicFront">
            <a:rot lat="0" lon="0" rev="0"/>
          </a:camera>
          <a:lightRig rig="contrasting" dir="t">
            <a:rot lat="0" lon="0" rev="7800000"/>
          </a:lightRig>
        </a:scene3d>
        <a:sp3d>
          <a:bevelT w="139700" h="139700"/>
        </a:sp3d>
      </xdr:spPr>
      <xdr:style>
        <a:lnRef idx="1">
          <a:schemeClr val="accent3"/>
        </a:lnRef>
        <a:fillRef idx="2">
          <a:schemeClr val="accent3"/>
        </a:fillRef>
        <a:effectRef idx="1">
          <a:schemeClr val="accent3"/>
        </a:effectRef>
        <a:fontRef idx="minor">
          <a:schemeClr val="tx1"/>
        </a:fontRef>
      </xdr:style>
      <xdr:txBody>
        <a:bodyPr vertOverflow="clip" horzOverflow="clip" rtlCol="0" anchor="b"/>
        <a:lstStyle/>
        <a:p>
          <a:pPr algn="ctr"/>
          <a:r>
            <a:rPr lang="pl-PL" sz="1400" b="0" i="0" cap="none" spc="50">
              <a:ln w="0"/>
              <a:solidFill>
                <a:schemeClr val="tx1"/>
              </a:solidFill>
              <a:effectLst>
                <a:innerShdw blurRad="63500" dist="50800" dir="13500000">
                  <a:srgbClr val="000000">
                    <a:alpha val="50000"/>
                  </a:srgbClr>
                </a:innerShdw>
              </a:effectLst>
              <a:latin typeface="Fira Sans SemiBold" panose="020B0603050000020004" pitchFamily="34" charset="0"/>
              <a:ea typeface="Fira Sans SemiBold" panose="020B0603050000020004" pitchFamily="34" charset="0"/>
            </a:rPr>
            <a:t>PRODUKCJA W EUROPIE</a:t>
          </a:r>
        </a:p>
        <a:p>
          <a:pPr algn="ctr"/>
          <a:endPar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endParaRPr>
        </a:p>
        <a:p>
          <a:pPr algn="ctr"/>
          <a:r>
            <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arkusz zawiera dane o produkcji wyrobów przemysłowych w krajach Unii Europejskiej oraz innych krajach europejskich raportujących dane do EUROSTATu według listy PRODCOM</a:t>
          </a:r>
        </a:p>
        <a:p>
          <a:pPr algn="ctr"/>
          <a:endPar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endParaRPr>
        </a:p>
      </xdr:txBody>
    </xdr:sp>
    <xdr:clientData/>
  </xdr:twoCellAnchor>
  <xdr:twoCellAnchor editAs="oneCell">
    <xdr:from>
      <xdr:col>5</xdr:col>
      <xdr:colOff>1114425</xdr:colOff>
      <xdr:row>3</xdr:row>
      <xdr:rowOff>95250</xdr:rowOff>
    </xdr:from>
    <xdr:to>
      <xdr:col>6</xdr:col>
      <xdr:colOff>85725</xdr:colOff>
      <xdr:row>5</xdr:row>
      <xdr:rowOff>114300</xdr:rowOff>
    </xdr:to>
    <xdr:pic>
      <xdr:nvPicPr>
        <xdr:cNvPr id="19" name="Obraz 18"/>
        <xdr:cNvPicPr preferRelativeResize="1">
          <a:picLocks noChangeAspect="1"/>
        </xdr:cNvPicPr>
      </xdr:nvPicPr>
      <xdr:blipFill>
        <a:blip r:embed="rId5"/>
        <a:stretch>
          <a:fillRect/>
        </a:stretch>
      </xdr:blipFill>
      <xdr:spPr>
        <a:xfrm>
          <a:off x="8867775" y="2571750"/>
          <a:ext cx="447675" cy="457200"/>
        </a:xfrm>
        <a:prstGeom prst="rect">
          <a:avLst/>
        </a:prstGeom>
        <a:ln>
          <a:noFill/>
        </a:ln>
      </xdr:spPr>
    </xdr:pic>
    <xdr:clientData/>
  </xdr:twoCellAnchor>
  <xdr:twoCellAnchor>
    <xdr:from>
      <xdr:col>3</xdr:col>
      <xdr:colOff>390525</xdr:colOff>
      <xdr:row>10</xdr:row>
      <xdr:rowOff>171450</xdr:rowOff>
    </xdr:from>
    <xdr:to>
      <xdr:col>6</xdr:col>
      <xdr:colOff>171450</xdr:colOff>
      <xdr:row>17</xdr:row>
      <xdr:rowOff>200025</xdr:rowOff>
    </xdr:to>
    <xdr:sp macro="" textlink="">
      <xdr:nvSpPr>
        <xdr:cNvPr id="12" name="Prostokąt: zaokrąglone rogi 31">
          <a:hlinkClick r:id="rId6"/>
        </xdr:cNvPr>
        <xdr:cNvSpPr/>
      </xdr:nvSpPr>
      <xdr:spPr>
        <a:xfrm>
          <a:off x="4905375" y="4048125"/>
          <a:ext cx="4495800" cy="1438275"/>
        </a:xfrm>
        <a:prstGeom prst="roundRect">
          <a:avLst>
            <a:gd name="adj" fmla="val 7247"/>
          </a:avLst>
        </a:prstGeom>
        <a:solidFill>
          <a:srgbClr val="C5E8FF"/>
        </a:solidFill>
        <a:ln>
          <a:noFill/>
        </a:ln>
        <a:scene3d>
          <a:camera prst="orthographicFront">
            <a:rot lat="0" lon="0" rev="0"/>
          </a:camera>
          <a:lightRig rig="contrasting" dir="t">
            <a:rot lat="0" lon="0" rev="7800000"/>
          </a:lightRig>
        </a:scene3d>
        <a:sp3d>
          <a:bevelT w="139700" h="139700"/>
        </a:sp3d>
      </xdr:spPr>
      <xdr:style>
        <a:lnRef idx="1">
          <a:schemeClr val="accent3"/>
        </a:lnRef>
        <a:fillRef idx="2">
          <a:schemeClr val="accent3"/>
        </a:fillRef>
        <a:effectRef idx="1">
          <a:schemeClr val="accent3"/>
        </a:effectRef>
        <a:fontRef idx="minor">
          <a:schemeClr val="tx1"/>
        </a:fontRef>
      </xdr:style>
      <xdr:txBody>
        <a:bodyPr vertOverflow="clip" horzOverflow="clip" rtlCol="0" anchor="b"/>
        <a:lstStyle/>
        <a:p>
          <a:pPr algn="ctr"/>
          <a:r>
            <a:rPr lang="pl-PL" sz="1400" b="1" i="1" cap="none" spc="50">
              <a:ln w="0"/>
              <a:solidFill>
                <a:schemeClr val="tx1">
                  <a:lumMod val="50000"/>
                  <a:lumOff val="50000"/>
                </a:schemeClr>
              </a:solidFill>
              <a:effectLst>
                <a:innerShdw blurRad="63500" dist="50800" dir="13500000">
                  <a:srgbClr val="000000">
                    <a:alpha val="50000"/>
                  </a:srgbClr>
                </a:innerShdw>
              </a:effectLst>
              <a:latin typeface="Arial Narrow" panose="020B0606020202030204" pitchFamily="34" charset="0"/>
            </a:rPr>
            <a:t>  </a:t>
          </a:r>
          <a:r>
            <a:rPr lang="pl-PL" sz="1400" b="0" i="0" cap="none" spc="50">
              <a:ln w="0"/>
              <a:solidFill>
                <a:schemeClr val="tx1"/>
              </a:solidFill>
              <a:effectLst>
                <a:innerShdw blurRad="63500" dist="50800" dir="13500000">
                  <a:srgbClr val="000000">
                    <a:alpha val="50000"/>
                  </a:srgbClr>
                </a:innerShdw>
              </a:effectLst>
              <a:latin typeface="Fira Sans SemiBold" panose="020B0603050000020004" pitchFamily="34" charset="0"/>
              <a:ea typeface="Fira Sans SemiBold" panose="020B0603050000020004" pitchFamily="34" charset="0"/>
            </a:rPr>
            <a:t>PORÓWNAJ SWOJE DANE</a:t>
          </a:r>
        </a:p>
        <a:p>
          <a:pPr algn="ctr"/>
          <a:endParaRPr lang="pl-PL" sz="1800" b="0" i="0" cap="none" spc="50">
            <a:ln w="0"/>
            <a:solidFill>
              <a:schemeClr val="tx1"/>
            </a:solidFill>
            <a:effectLst>
              <a:innerShdw blurRad="63500" dist="50800" dir="13500000">
                <a:srgbClr val="000000">
                  <a:alpha val="50000"/>
                </a:srgbClr>
              </a:innerShdw>
            </a:effectLst>
            <a:latin typeface="Arial Narrow" panose="020B0606020202030204" pitchFamily="34" charset="0"/>
          </a:endParaRPr>
        </a:p>
        <a:p>
          <a:pPr algn="ctr"/>
          <a:r>
            <a:rPr lang="pl-PL" sz="1000" b="0" i="0" cap="none" spc="50">
              <a:ln w="0"/>
              <a:solidFill>
                <a:schemeClr val="tx1"/>
              </a:solidFill>
              <a:effectLst>
                <a:innerShdw blurRad="63500" dist="50800" dir="13500000">
                  <a:srgbClr val="000000">
                    <a:alpha val="50000"/>
                  </a:srgbClr>
                </a:innerShdw>
              </a:effectLst>
              <a:latin typeface="Fira Sans" panose="020B0503050000020004" pitchFamily="34" charset="0"/>
              <a:ea typeface="Fira Sans" panose="020B0503050000020004" pitchFamily="34" charset="0"/>
            </a:rPr>
            <a:t>za pomocą tego arkusza można porównać produkcję swojej firmy dla wybranych wyrobów przemysłowych z produkcją tego samego wyrobu w Polsce</a:t>
          </a:r>
        </a:p>
        <a:p>
          <a:pPr algn="ctr"/>
          <a:endParaRPr lang="pl-PL" sz="500" b="0" i="0" cap="none" spc="50">
            <a:ln w="0"/>
            <a:solidFill>
              <a:schemeClr val="tx1">
                <a:lumMod val="75000"/>
                <a:lumOff val="25000"/>
              </a:schemeClr>
            </a:solidFill>
            <a:effectLst>
              <a:innerShdw blurRad="63500" dist="50800" dir="13500000">
                <a:srgbClr val="000000">
                  <a:alpha val="50000"/>
                </a:srgbClr>
              </a:innerShdw>
            </a:effectLst>
            <a:latin typeface="Arial Narrow" panose="020B0606020202030204" pitchFamily="34" charset="0"/>
          </a:endParaRPr>
        </a:p>
      </xdr:txBody>
    </xdr:sp>
    <xdr:clientData/>
  </xdr:twoCellAnchor>
  <xdr:twoCellAnchor editAs="oneCell">
    <xdr:from>
      <xdr:col>5</xdr:col>
      <xdr:colOff>1000125</xdr:colOff>
      <xdr:row>10</xdr:row>
      <xdr:rowOff>190500</xdr:rowOff>
    </xdr:from>
    <xdr:to>
      <xdr:col>6</xdr:col>
      <xdr:colOff>276225</xdr:colOff>
      <xdr:row>13</xdr:row>
      <xdr:rowOff>76200</xdr:rowOff>
    </xdr:to>
    <xdr:pic>
      <xdr:nvPicPr>
        <xdr:cNvPr id="18" name="Obraz 17"/>
        <xdr:cNvPicPr preferRelativeResize="1">
          <a:picLocks noChangeAspect="1"/>
        </xdr:cNvPicPr>
      </xdr:nvPicPr>
      <xdr:blipFill>
        <a:blip r:embed="rId7"/>
        <a:stretch>
          <a:fillRect/>
        </a:stretch>
      </xdr:blipFill>
      <xdr:spPr>
        <a:xfrm>
          <a:off x="8753475" y="4067175"/>
          <a:ext cx="752475" cy="542925"/>
        </a:xfrm>
        <a:prstGeom prst="rect">
          <a:avLst/>
        </a:prstGeom>
        <a:ln>
          <a:noFill/>
        </a:ln>
      </xdr:spPr>
    </xdr:pic>
    <xdr:clientData/>
  </xdr:twoCellAnchor>
  <xdr:twoCellAnchor editAs="oneCell">
    <xdr:from>
      <xdr:col>4</xdr:col>
      <xdr:colOff>781050</xdr:colOff>
      <xdr:row>21</xdr:row>
      <xdr:rowOff>114300</xdr:rowOff>
    </xdr:from>
    <xdr:to>
      <xdr:col>4</xdr:col>
      <xdr:colOff>1266825</xdr:colOff>
      <xdr:row>23</xdr:row>
      <xdr:rowOff>161925</xdr:rowOff>
    </xdr:to>
    <xdr:pic>
      <xdr:nvPicPr>
        <xdr:cNvPr id="4" name="Obraz 3">
          <a:hlinkClick r:id="rId10"/>
        </xdr:cNvPr>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a:xfrm>
          <a:off x="6772275" y="6315075"/>
          <a:ext cx="485775" cy="485775"/>
        </a:xfrm>
        <a:prstGeom prst="rect">
          <a:avLst/>
        </a:prstGeom>
        <a:ln>
          <a:noFill/>
        </a:ln>
      </xdr:spPr>
    </xdr:pic>
    <xdr:clientData/>
  </xdr:twoCellAnchor>
  <xdr:twoCellAnchor>
    <xdr:from>
      <xdr:col>0</xdr:col>
      <xdr:colOff>323850</xdr:colOff>
      <xdr:row>10</xdr:row>
      <xdr:rowOff>142875</xdr:rowOff>
    </xdr:from>
    <xdr:to>
      <xdr:col>1</xdr:col>
      <xdr:colOff>390525</xdr:colOff>
      <xdr:row>12</xdr:row>
      <xdr:rowOff>95250</xdr:rowOff>
    </xdr:to>
    <xdr:sp macro="" textlink="">
      <xdr:nvSpPr>
        <xdr:cNvPr id="9" name="Prostokąt 8"/>
        <xdr:cNvSpPr/>
      </xdr:nvSpPr>
      <xdr:spPr>
        <a:xfrm>
          <a:off x="323850" y="4019550"/>
          <a:ext cx="1276350" cy="390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pl-PL" sz="1200">
              <a:solidFill>
                <a:schemeClr val="tx1">
                  <a:lumMod val="75000"/>
                  <a:lumOff val="25000"/>
                </a:schemeClr>
              </a:solidFill>
              <a:latin typeface="Arial" panose="020B0604020202020204" pitchFamily="34" charset="0"/>
              <a:cs typeface="Arial" panose="020B0604020202020204" pitchFamily="34" charset="0"/>
            </a:rPr>
            <a:t>eurostat</a:t>
          </a:r>
        </a:p>
        <a:p>
          <a:pPr algn="l"/>
          <a:r>
            <a:rPr lang="pl-PL" sz="600">
              <a:solidFill>
                <a:schemeClr val="tx1">
                  <a:lumMod val="75000"/>
                  <a:lumOff val="25000"/>
                </a:schemeClr>
              </a:solidFill>
              <a:latin typeface="Arial" panose="020B0604020202020204" pitchFamily="34" charset="0"/>
              <a:cs typeface="Arial" panose="020B0604020202020204" pitchFamily="34" charset="0"/>
            </a:rPr>
            <a:t>Your key to European statistics</a:t>
          </a:r>
        </a:p>
      </xdr:txBody>
    </xdr:sp>
    <xdr:clientData/>
  </xdr:twoCellAnchor>
  <xdr:twoCellAnchor editAs="oneCell">
    <xdr:from>
      <xdr:col>2</xdr:col>
      <xdr:colOff>1076325</xdr:colOff>
      <xdr:row>11</xdr:row>
      <xdr:rowOff>9525</xdr:rowOff>
    </xdr:from>
    <xdr:to>
      <xdr:col>3</xdr:col>
      <xdr:colOff>76200</xdr:colOff>
      <xdr:row>12</xdr:row>
      <xdr:rowOff>85725</xdr:rowOff>
    </xdr:to>
    <xdr:pic>
      <xdr:nvPicPr>
        <xdr:cNvPr id="32" name="Obraz 31" descr="Znalezione obrazy dla zapytania unia europejska flaga"/>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flipH="1">
          <a:off x="4114800" y="4105275"/>
          <a:ext cx="476250" cy="295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114300</xdr:colOff>
      <xdr:row>22</xdr:row>
      <xdr:rowOff>0</xdr:rowOff>
    </xdr:from>
    <xdr:to>
      <xdr:col>4</xdr:col>
      <xdr:colOff>361950</xdr:colOff>
      <xdr:row>23</xdr:row>
      <xdr:rowOff>28575</xdr:rowOff>
    </xdr:to>
    <xdr:pic>
      <xdr:nvPicPr>
        <xdr:cNvPr id="33" name="Obraz 51" descr="cid:image005.png@01D39B2E.A6A15C30">
          <a:hlinkClick r:id="rId14"/>
        </xdr:cNvPr>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6105525" y="6419850"/>
          <a:ext cx="247650"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457200</xdr:colOff>
      <xdr:row>22</xdr:row>
      <xdr:rowOff>9525</xdr:rowOff>
    </xdr:from>
    <xdr:to>
      <xdr:col>4</xdr:col>
      <xdr:colOff>704850</xdr:colOff>
      <xdr:row>23</xdr:row>
      <xdr:rowOff>38100</xdr:rowOff>
    </xdr:to>
    <xdr:pic>
      <xdr:nvPicPr>
        <xdr:cNvPr id="35" name="Obraz 52" descr="cid:image006.png@01D39B2E.A6A15C30">
          <a:hlinkClick r:id="rId17"/>
        </xdr:cNvPr>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bwMode="auto">
        <a:xfrm>
          <a:off x="6448425" y="6429375"/>
          <a:ext cx="247650"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400050</xdr:colOff>
      <xdr:row>0</xdr:row>
      <xdr:rowOff>114300</xdr:rowOff>
    </xdr:from>
    <xdr:to>
      <xdr:col>2</xdr:col>
      <xdr:colOff>438150</xdr:colOff>
      <xdr:row>1</xdr:row>
      <xdr:rowOff>962025</xdr:rowOff>
    </xdr:to>
    <xdr:pic>
      <xdr:nvPicPr>
        <xdr:cNvPr id="2" name="Obraz 1"/>
        <xdr:cNvPicPr preferRelativeResize="1">
          <a:picLocks noChangeAspect="1"/>
        </xdr:cNvPicPr>
      </xdr:nvPicPr>
      <xdr:blipFill>
        <a:blip r:embed="rId18">
          <a:extLst>
            <a:ext uri="{28A0092B-C50C-407E-A947-70E740481C1C}">
              <a14:useLocalDpi xmlns:a14="http://schemas.microsoft.com/office/drawing/2010/main" val="0"/>
            </a:ext>
          </a:extLst>
        </a:blip>
        <a:stretch>
          <a:fillRect/>
        </a:stretch>
      </xdr:blipFill>
      <xdr:spPr>
        <a:xfrm>
          <a:off x="400050" y="114300"/>
          <a:ext cx="3076575" cy="13144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11</xdr:row>
      <xdr:rowOff>9525</xdr:rowOff>
    </xdr:from>
    <xdr:to>
      <xdr:col>5</xdr:col>
      <xdr:colOff>495300</xdr:colOff>
      <xdr:row>25</xdr:row>
      <xdr:rowOff>161925</xdr:rowOff>
    </xdr:to>
    <xdr:graphicFrame macro="">
      <xdr:nvGraphicFramePr>
        <xdr:cNvPr id="7" name="Wykres 6"/>
        <xdr:cNvGraphicFramePr/>
      </xdr:nvGraphicFramePr>
      <xdr:xfrm>
        <a:off x="295275" y="2257425"/>
        <a:ext cx="5048250" cy="24193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5</xdr:row>
      <xdr:rowOff>66675</xdr:rowOff>
    </xdr:from>
    <xdr:to>
      <xdr:col>3</xdr:col>
      <xdr:colOff>1457325</xdr:colOff>
      <xdr:row>6</xdr:row>
      <xdr:rowOff>295275</xdr:rowOff>
    </xdr:to>
    <xdr:sp macro="" textlink="">
      <xdr:nvSpPr>
        <xdr:cNvPr id="22" name="Prostokąt: zaokrąglone rogi 1"/>
        <xdr:cNvSpPr/>
      </xdr:nvSpPr>
      <xdr:spPr>
        <a:xfrm>
          <a:off x="304800" y="1285875"/>
          <a:ext cx="1524000" cy="304800"/>
        </a:xfrm>
        <a:prstGeom prst="roundRect">
          <a:avLst/>
        </a:prstGeom>
        <a:solidFill>
          <a:srgbClr val="BFBFBF">
            <a:alpha val="40000"/>
          </a:srgbClr>
        </a:solidFill>
        <a:ln w="19050">
          <a:solidFill>
            <a:schemeClr val="bg1">
              <a:lumMod val="50000"/>
            </a:schemeClr>
          </a:solidFill>
          <a:headEnd type="none"/>
          <a:tailEnd type="none"/>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algn="ctr"/>
          <a:r>
            <a:rPr lang="pl-PL" sz="1100" b="0" i="0">
              <a:solidFill>
                <a:sysClr val="windowText" lastClr="000000"/>
              </a:solidFill>
              <a:effectLst/>
              <a:latin typeface="Fira Sans SemiBold" panose="020B0603050000020004" pitchFamily="34" charset="0"/>
              <a:ea typeface="Fira Sans SemiBold" panose="020B0603050000020004" pitchFamily="34" charset="0"/>
              <a:cs typeface="+mn-cs"/>
            </a:rPr>
            <a:t>Wybierz dział:</a:t>
          </a:r>
          <a:endParaRPr lang="pl-PL" sz="1100" b="0" i="0">
            <a:solidFill>
              <a:sysClr val="windowText" lastClr="000000"/>
            </a:solidFill>
            <a:effectLst/>
            <a:latin typeface="Fira Sans SemiBold" panose="020B0603050000020004" pitchFamily="34" charset="0"/>
            <a:ea typeface="Fira Sans SemiBold" panose="020B0603050000020004" pitchFamily="34" charset="0"/>
          </a:endParaRPr>
        </a:p>
      </xdr:txBody>
    </xdr:sp>
    <xdr:clientData/>
  </xdr:twoCellAnchor>
  <xdr:twoCellAnchor>
    <xdr:from>
      <xdr:col>1</xdr:col>
      <xdr:colOff>200025</xdr:colOff>
      <xdr:row>6</xdr:row>
      <xdr:rowOff>333375</xdr:rowOff>
    </xdr:from>
    <xdr:to>
      <xdr:col>3</xdr:col>
      <xdr:colOff>1457325</xdr:colOff>
      <xdr:row>8</xdr:row>
      <xdr:rowOff>200025</xdr:rowOff>
    </xdr:to>
    <xdr:sp macro="" textlink="">
      <xdr:nvSpPr>
        <xdr:cNvPr id="24" name="Prostokąt: zaokrąglone rogi 1"/>
        <xdr:cNvSpPr/>
      </xdr:nvSpPr>
      <xdr:spPr>
        <a:xfrm>
          <a:off x="304800" y="1628775"/>
          <a:ext cx="1524000" cy="304800"/>
        </a:xfrm>
        <a:prstGeom prst="roundRect">
          <a:avLst/>
        </a:prstGeom>
        <a:solidFill>
          <a:srgbClr val="BFBFBF">
            <a:alpha val="40000"/>
          </a:srgbClr>
        </a:solidFill>
        <a:ln w="19050">
          <a:solidFill>
            <a:schemeClr val="bg1">
              <a:lumMod val="50000"/>
            </a:schemeClr>
          </a:solidFill>
          <a:headEnd type="none"/>
          <a:tailEnd type="none"/>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marL="0" indent="0" algn="ctr"/>
          <a:r>
            <a:rPr lang="pl-PL" sz="1100" b="0" i="0">
              <a:solidFill>
                <a:sysClr val="windowText" lastClr="000000"/>
              </a:solidFill>
              <a:effectLst/>
              <a:latin typeface="Fira Sans SemiBold" panose="020B0603050000020004" pitchFamily="34" charset="0"/>
              <a:ea typeface="Fira Sans SemiBold" panose="020B0603050000020004" pitchFamily="34" charset="0"/>
              <a:cs typeface="+mn-cs"/>
            </a:rPr>
            <a:t>Wybierz wyrób:</a:t>
          </a:r>
        </a:p>
      </xdr:txBody>
    </xdr:sp>
    <xdr:clientData/>
  </xdr:twoCellAnchor>
  <xdr:oneCellAnchor>
    <xdr:from>
      <xdr:col>16</xdr:col>
      <xdr:colOff>438150</xdr:colOff>
      <xdr:row>27</xdr:row>
      <xdr:rowOff>85725</xdr:rowOff>
    </xdr:from>
    <xdr:ext cx="276225" cy="238125"/>
    <xdr:pic>
      <xdr:nvPicPr>
        <xdr:cNvPr id="3" name="Obraz 2"/>
        <xdr:cNvPicPr preferRelativeResize="1">
          <a:picLocks noChangeAspect="1"/>
        </xdr:cNvPicPr>
      </xdr:nvPicPr>
      <xdr:blipFill>
        <a:blip r:embed="rId2">
          <a:extLst>
            <a:ext uri="{BEBA8EAE-BF5A-486C-A8C5-ECC9F3942E4B}">
              <a14:imgProps xmlns:a14="http://schemas.microsoft.com/office/drawing/2010/main">
                <a14:imgLayer xmlns:r="http://schemas.openxmlformats.org/officeDocument/2006/relationships" r:embed="rId3">
                  <a14:imgEffect>
                    <a14:saturation sat="0"/>
                  </a14:imgEffect>
                  <a14:imgEffect>
                    <a14:brightnessContrast bright="-40000" contrast="-40000"/>
                  </a14:imgEffect>
                </a14:imgLayer>
              </a14:imgProps>
            </a:ext>
          </a:extLst>
        </a:blip>
        <a:stretch>
          <a:fillRect/>
        </a:stretch>
      </xdr:blipFill>
      <xdr:spPr>
        <a:xfrm rot="5634202">
          <a:off x="11506200" y="5057775"/>
          <a:ext cx="276225" cy="238125"/>
        </a:xfrm>
        <a:prstGeom prst="rect">
          <a:avLst/>
        </a:prstGeom>
        <a:ln>
          <a:noFill/>
        </a:ln>
      </xdr:spPr>
    </xdr:pic>
    <xdr:clientData/>
  </xdr:oneCellAnchor>
  <xdr:oneCellAnchor>
    <xdr:from>
      <xdr:col>14</xdr:col>
      <xdr:colOff>866775</xdr:colOff>
      <xdr:row>6</xdr:row>
      <xdr:rowOff>0</xdr:rowOff>
    </xdr:from>
    <xdr:ext cx="266700" cy="314325"/>
    <xdr:pic>
      <xdr:nvPicPr>
        <xdr:cNvPr id="23" name="Obraz 22"/>
        <xdr:cNvPicPr preferRelativeResize="1">
          <a:picLocks noChangeAspect="1"/>
        </xdr:cNvPicPr>
      </xdr:nvPicPr>
      <xdr:blipFill>
        <a:blip r:embed="rId4">
          <a:grayscl/>
        </a:blip>
        <a:stretch>
          <a:fillRect/>
        </a:stretch>
      </xdr:blipFill>
      <xdr:spPr>
        <a:xfrm rot="11391075">
          <a:off x="10763250" y="1295400"/>
          <a:ext cx="266700" cy="314325"/>
        </a:xfrm>
        <a:prstGeom prst="rect">
          <a:avLst/>
        </a:prstGeom>
        <a:ln>
          <a:noFill/>
        </a:ln>
      </xdr:spPr>
    </xdr:pic>
    <xdr:clientData/>
  </xdr:oneCellAnchor>
  <xdr:oneCellAnchor>
    <xdr:from>
      <xdr:col>3</xdr:col>
      <xdr:colOff>3838575</xdr:colOff>
      <xdr:row>27</xdr:row>
      <xdr:rowOff>9525</xdr:rowOff>
    </xdr:from>
    <xdr:ext cx="276225" cy="238125"/>
    <xdr:pic>
      <xdr:nvPicPr>
        <xdr:cNvPr id="25" name="Obraz 24"/>
        <xdr:cNvPicPr preferRelativeResize="1">
          <a:picLocks noChangeAspect="1"/>
        </xdr:cNvPicPr>
      </xdr:nvPicPr>
      <xdr:blipFill>
        <a:blip r:embed="rId2">
          <a:extLst>
            <a:ext uri="{BEBA8EAE-BF5A-486C-A8C5-ECC9F3942E4B}">
              <a14:imgProps xmlns:a14="http://schemas.microsoft.com/office/drawing/2010/main">
                <a14:imgLayer xmlns:r="http://schemas.openxmlformats.org/officeDocument/2006/relationships" r:embed="rId3">
                  <a14:imgEffect>
                    <a14:saturation sat="0"/>
                  </a14:imgEffect>
                  <a14:imgEffect>
                    <a14:brightnessContrast bright="-40000" contrast="-40000"/>
                  </a14:imgEffect>
                </a14:imgLayer>
              </a14:imgProps>
            </a:ext>
          </a:extLst>
        </a:blip>
        <a:stretch>
          <a:fillRect/>
        </a:stretch>
      </xdr:blipFill>
      <xdr:spPr>
        <a:xfrm rot="7060507">
          <a:off x="4210050" y="4981575"/>
          <a:ext cx="276225" cy="238125"/>
        </a:xfrm>
        <a:prstGeom prst="rect">
          <a:avLst/>
        </a:prstGeom>
        <a:ln>
          <a:noFill/>
        </a:ln>
      </xdr:spPr>
    </xdr:pic>
    <xdr:clientData/>
  </xdr:oneCellAnchor>
  <xdr:twoCellAnchor>
    <xdr:from>
      <xdr:col>11</xdr:col>
      <xdr:colOff>142875</xdr:colOff>
      <xdr:row>11</xdr:row>
      <xdr:rowOff>85725</xdr:rowOff>
    </xdr:from>
    <xdr:to>
      <xdr:col>17</xdr:col>
      <xdr:colOff>0</xdr:colOff>
      <xdr:row>26</xdr:row>
      <xdr:rowOff>0</xdr:rowOff>
    </xdr:to>
    <xdr:graphicFrame macro="">
      <xdr:nvGraphicFramePr>
        <xdr:cNvPr id="27" name="Wykres 26"/>
        <xdr:cNvGraphicFramePr/>
      </xdr:nvGraphicFramePr>
      <xdr:xfrm>
        <a:off x="7896225" y="2333625"/>
        <a:ext cx="4143375" cy="2343150"/>
      </xdr:xfrm>
      <a:graphic>
        <a:graphicData uri="http://schemas.openxmlformats.org/drawingml/2006/chart">
          <c:chart xmlns:c="http://schemas.openxmlformats.org/drawingml/2006/chart" r:id="rId5"/>
        </a:graphicData>
      </a:graphic>
    </xdr:graphicFrame>
    <xdr:clientData/>
  </xdr:twoCellAnchor>
  <xdr:twoCellAnchor editAs="oneCell">
    <xdr:from>
      <xdr:col>14</xdr:col>
      <xdr:colOff>333375</xdr:colOff>
      <xdr:row>3</xdr:row>
      <xdr:rowOff>161925</xdr:rowOff>
    </xdr:from>
    <xdr:to>
      <xdr:col>14</xdr:col>
      <xdr:colOff>752475</xdr:colOff>
      <xdr:row>6</xdr:row>
      <xdr:rowOff>38100</xdr:rowOff>
    </xdr:to>
    <xdr:pic>
      <xdr:nvPicPr>
        <xdr:cNvPr id="4" name="Obraz 3"/>
        <xdr:cNvPicPr preferRelativeResize="1">
          <a:picLocks noChangeAspect="1"/>
        </xdr:cNvPicPr>
      </xdr:nvPicPr>
      <xdr:blipFill>
        <a:blip r:embed="rId6"/>
        <a:stretch>
          <a:fillRect/>
        </a:stretch>
      </xdr:blipFill>
      <xdr:spPr>
        <a:xfrm>
          <a:off x="10229850" y="923925"/>
          <a:ext cx="419100" cy="4095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7</xdr:row>
      <xdr:rowOff>180975</xdr:rowOff>
    </xdr:from>
    <xdr:to>
      <xdr:col>37</xdr:col>
      <xdr:colOff>19050</xdr:colOff>
      <xdr:row>15</xdr:row>
      <xdr:rowOff>114300</xdr:rowOff>
    </xdr:to>
    <xdr:graphicFrame macro="">
      <xdr:nvGraphicFramePr>
        <xdr:cNvPr id="2" name="Wykres 1"/>
        <xdr:cNvGraphicFramePr/>
      </xdr:nvGraphicFramePr>
      <xdr:xfrm>
        <a:off x="5991225" y="1657350"/>
        <a:ext cx="6096000" cy="2076450"/>
      </xdr:xfrm>
      <a:graphic>
        <a:graphicData uri="http://schemas.openxmlformats.org/drawingml/2006/chart">
          <c:chart xmlns:c="http://schemas.openxmlformats.org/drawingml/2006/chart" r:id="rId1"/>
        </a:graphicData>
      </a:graphic>
    </xdr:graphicFrame>
    <xdr:clientData/>
  </xdr:twoCellAnchor>
  <xdr:twoCellAnchor editAs="oneCell">
    <xdr:from>
      <xdr:col>36</xdr:col>
      <xdr:colOff>104775</xdr:colOff>
      <xdr:row>3</xdr:row>
      <xdr:rowOff>47625</xdr:rowOff>
    </xdr:from>
    <xdr:to>
      <xdr:col>37</xdr:col>
      <xdr:colOff>152400</xdr:colOff>
      <xdr:row>5</xdr:row>
      <xdr:rowOff>66675</xdr:rowOff>
    </xdr:to>
    <xdr:pic>
      <xdr:nvPicPr>
        <xdr:cNvPr id="13" name="Obraz 12"/>
        <xdr:cNvPicPr preferRelativeResize="1">
          <a:picLocks noChangeAspect="1"/>
        </xdr:cNvPicPr>
      </xdr:nvPicPr>
      <xdr:blipFill>
        <a:blip r:embed="rId2"/>
        <a:stretch>
          <a:fillRect/>
        </a:stretch>
      </xdr:blipFill>
      <xdr:spPr>
        <a:xfrm rot="13351246">
          <a:off x="11963400" y="762000"/>
          <a:ext cx="257175" cy="285750"/>
        </a:xfrm>
        <a:prstGeom prst="rect">
          <a:avLst/>
        </a:prstGeom>
        <a:ln>
          <a:noFill/>
        </a:ln>
      </xdr:spPr>
    </xdr:pic>
    <xdr:clientData/>
  </xdr:twoCellAnchor>
  <xdr:twoCellAnchor>
    <xdr:from>
      <xdr:col>1</xdr:col>
      <xdr:colOff>257175</xdr:colOff>
      <xdr:row>8</xdr:row>
      <xdr:rowOff>38100</xdr:rowOff>
    </xdr:from>
    <xdr:to>
      <xdr:col>6</xdr:col>
      <xdr:colOff>0</xdr:colOff>
      <xdr:row>20</xdr:row>
      <xdr:rowOff>0</xdr:rowOff>
    </xdr:to>
    <xdr:graphicFrame macro="">
      <xdr:nvGraphicFramePr>
        <xdr:cNvPr id="14" name="Wykres 13"/>
        <xdr:cNvGraphicFramePr/>
      </xdr:nvGraphicFramePr>
      <xdr:xfrm>
        <a:off x="361950" y="1733550"/>
        <a:ext cx="5086350" cy="4191000"/>
      </xdr:xfrm>
      <a:graphic>
        <a:graphicData uri="http://schemas.openxmlformats.org/drawingml/2006/chart">
          <c:chart xmlns:c="http://schemas.openxmlformats.org/drawingml/2006/chart" r:id="rId3"/>
        </a:graphicData>
      </a:graphic>
    </xdr:graphicFrame>
    <xdr:clientData/>
  </xdr:twoCellAnchor>
  <xdr:twoCellAnchor>
    <xdr:from>
      <xdr:col>7</xdr:col>
      <xdr:colOff>276225</xdr:colOff>
      <xdr:row>16</xdr:row>
      <xdr:rowOff>247650</xdr:rowOff>
    </xdr:from>
    <xdr:to>
      <xdr:col>37</xdr:col>
      <xdr:colOff>95250</xdr:colOff>
      <xdr:row>20</xdr:row>
      <xdr:rowOff>95250</xdr:rowOff>
    </xdr:to>
    <xdr:graphicFrame macro="">
      <xdr:nvGraphicFramePr>
        <xdr:cNvPr id="15" name="Wykres 14"/>
        <xdr:cNvGraphicFramePr/>
      </xdr:nvGraphicFramePr>
      <xdr:xfrm>
        <a:off x="5762625" y="4133850"/>
        <a:ext cx="6400800" cy="1885950"/>
      </xdr:xfrm>
      <a:graphic>
        <a:graphicData uri="http://schemas.openxmlformats.org/drawingml/2006/chart">
          <c:chart xmlns:c="http://schemas.openxmlformats.org/drawingml/2006/chart" r:id="rId4"/>
        </a:graphicData>
      </a:graphic>
    </xdr:graphicFrame>
    <xdr:clientData/>
  </xdr:twoCellAnchor>
  <xdr:oneCellAnchor>
    <xdr:from>
      <xdr:col>35</xdr:col>
      <xdr:colOff>47625</xdr:colOff>
      <xdr:row>22</xdr:row>
      <xdr:rowOff>66675</xdr:rowOff>
    </xdr:from>
    <xdr:ext cx="276225" cy="238125"/>
    <xdr:pic>
      <xdr:nvPicPr>
        <xdr:cNvPr id="12" name="Obraz 11"/>
        <xdr:cNvPicPr preferRelativeResize="1">
          <a:picLocks noChangeAspect="1"/>
        </xdr:cNvPicPr>
      </xdr:nvPicPr>
      <xdr:blipFill>
        <a:blip r:embed="rId5">
          <a:extLst>
            <a:ext uri="{BEBA8EAE-BF5A-486C-A8C5-ECC9F3942E4B}">
              <a14:imgProps xmlns:a14="http://schemas.microsoft.com/office/drawing/2010/main">
                <a14:imgLayer xmlns:r="http://schemas.openxmlformats.org/officeDocument/2006/relationships" r:embed="rId6">
                  <a14:imgEffect>
                    <a14:saturation sat="0"/>
                  </a14:imgEffect>
                  <a14:imgEffect>
                    <a14:brightnessContrast bright="-40000" contrast="-40000"/>
                  </a14:imgEffect>
                </a14:imgLayer>
              </a14:imgProps>
            </a:ext>
          </a:extLst>
        </a:blip>
        <a:stretch>
          <a:fillRect/>
        </a:stretch>
      </xdr:blipFill>
      <xdr:spPr>
        <a:xfrm rot="5634202">
          <a:off x="11696700" y="6457950"/>
          <a:ext cx="276225" cy="238125"/>
        </a:xfrm>
        <a:prstGeom prst="rect">
          <a:avLst/>
        </a:prstGeom>
        <a:ln>
          <a:noFill/>
        </a:ln>
      </xdr:spPr>
    </xdr:pic>
    <xdr:clientData/>
  </xdr:oneCellAnchor>
  <xdr:twoCellAnchor>
    <xdr:from>
      <xdr:col>1</xdr:col>
      <xdr:colOff>238125</xdr:colOff>
      <xdr:row>5</xdr:row>
      <xdr:rowOff>47625</xdr:rowOff>
    </xdr:from>
    <xdr:to>
      <xdr:col>5</xdr:col>
      <xdr:colOff>571500</xdr:colOff>
      <xdr:row>6</xdr:row>
      <xdr:rowOff>0</xdr:rowOff>
    </xdr:to>
    <xdr:sp macro="" textlink="">
      <xdr:nvSpPr>
        <xdr:cNvPr id="17" name="Prostokąt: zaokrąglone rogi 1"/>
        <xdr:cNvSpPr/>
      </xdr:nvSpPr>
      <xdr:spPr>
        <a:xfrm>
          <a:off x="342900" y="1028700"/>
          <a:ext cx="1504950" cy="304800"/>
        </a:xfrm>
        <a:prstGeom prst="roundRect">
          <a:avLst/>
        </a:prstGeom>
        <a:solidFill>
          <a:srgbClr val="D9D9D9"/>
        </a:solidFill>
        <a:ln w="19050">
          <a:solidFill>
            <a:schemeClr val="bg1">
              <a:lumMod val="50000"/>
            </a:schemeClr>
          </a:solidFill>
          <a:headEnd type="none"/>
          <a:tailEnd type="none"/>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algn="ctr"/>
          <a:r>
            <a:rPr lang="pl-PL" sz="1100" b="0" i="0">
              <a:solidFill>
                <a:schemeClr val="tx1"/>
              </a:solidFill>
              <a:effectLst/>
              <a:latin typeface="Fira Sans SemiBold" panose="020B0603050000020004" pitchFamily="34" charset="0"/>
              <a:ea typeface="Fira Sans SemiBold" panose="020B0603050000020004" pitchFamily="34" charset="0"/>
              <a:cs typeface="+mn-cs"/>
            </a:rPr>
            <a:t>Wybierz dział :</a:t>
          </a:r>
          <a:endParaRPr lang="pl-PL" sz="1100" i="0">
            <a:solidFill>
              <a:schemeClr val="tx1"/>
            </a:solidFill>
            <a:effectLst/>
            <a:latin typeface="Fira Sans SemiBold" panose="020B0603050000020004" pitchFamily="34" charset="0"/>
            <a:ea typeface="Fira Sans SemiBold" panose="020B06030500000200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37</xdr:row>
      <xdr:rowOff>276225</xdr:rowOff>
    </xdr:from>
    <xdr:to>
      <xdr:col>19</xdr:col>
      <xdr:colOff>314325</xdr:colOff>
      <xdr:row>43</xdr:row>
      <xdr:rowOff>266700</xdr:rowOff>
    </xdr:to>
    <xdr:graphicFrame macro="">
      <xdr:nvGraphicFramePr>
        <xdr:cNvPr id="16" name="Wykres 15"/>
        <xdr:cNvGraphicFramePr/>
      </xdr:nvGraphicFramePr>
      <xdr:xfrm>
        <a:off x="5943600" y="9115425"/>
        <a:ext cx="3095625" cy="2276475"/>
      </xdr:xfrm>
      <a:graphic>
        <a:graphicData uri="http://schemas.openxmlformats.org/drawingml/2006/chart">
          <c:chart xmlns:c="http://schemas.openxmlformats.org/drawingml/2006/chart" r:id="rId1"/>
        </a:graphicData>
      </a:graphic>
    </xdr:graphicFrame>
    <xdr:clientData/>
  </xdr:twoCellAnchor>
  <xdr:twoCellAnchor>
    <xdr:from>
      <xdr:col>19</xdr:col>
      <xdr:colOff>352425</xdr:colOff>
      <xdr:row>16</xdr:row>
      <xdr:rowOff>161925</xdr:rowOff>
    </xdr:from>
    <xdr:to>
      <xdr:col>22</xdr:col>
      <xdr:colOff>1400175</xdr:colOff>
      <xdr:row>21</xdr:row>
      <xdr:rowOff>209550</xdr:rowOff>
    </xdr:to>
    <xdr:graphicFrame macro="">
      <xdr:nvGraphicFramePr>
        <xdr:cNvPr id="2" name="Wykres 1"/>
        <xdr:cNvGraphicFramePr/>
      </xdr:nvGraphicFramePr>
      <xdr:xfrm>
        <a:off x="9077325" y="3590925"/>
        <a:ext cx="2019300" cy="1952625"/>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13</xdr:row>
      <xdr:rowOff>0</xdr:rowOff>
    </xdr:from>
    <xdr:to>
      <xdr:col>6</xdr:col>
      <xdr:colOff>200025</xdr:colOff>
      <xdr:row>21</xdr:row>
      <xdr:rowOff>323850</xdr:rowOff>
    </xdr:to>
    <xdr:graphicFrame macro="">
      <xdr:nvGraphicFramePr>
        <xdr:cNvPr id="9" name="Wykres 8"/>
        <xdr:cNvGraphicFramePr/>
      </xdr:nvGraphicFramePr>
      <xdr:xfrm>
        <a:off x="228600" y="2695575"/>
        <a:ext cx="2952750" cy="2962275"/>
      </xdr:xfrm>
      <a:graphic>
        <a:graphicData uri="http://schemas.openxmlformats.org/drawingml/2006/chart">
          <c:chart xmlns:c="http://schemas.openxmlformats.org/drawingml/2006/chart" r:id="rId3"/>
        </a:graphicData>
      </a:graphic>
    </xdr:graphicFrame>
    <xdr:clientData/>
  </xdr:twoCellAnchor>
  <xdr:twoCellAnchor>
    <xdr:from>
      <xdr:col>6</xdr:col>
      <xdr:colOff>409575</xdr:colOff>
      <xdr:row>12</xdr:row>
      <xdr:rowOff>0</xdr:rowOff>
    </xdr:from>
    <xdr:to>
      <xdr:col>9</xdr:col>
      <xdr:colOff>628650</xdr:colOff>
      <xdr:row>21</xdr:row>
      <xdr:rowOff>323850</xdr:rowOff>
    </xdr:to>
    <xdr:graphicFrame macro="">
      <xdr:nvGraphicFramePr>
        <xdr:cNvPr id="10" name="Wykres 9"/>
        <xdr:cNvGraphicFramePr/>
      </xdr:nvGraphicFramePr>
      <xdr:xfrm>
        <a:off x="3390900" y="2647950"/>
        <a:ext cx="2333625" cy="3009900"/>
      </xdr:xfrm>
      <a:graphic>
        <a:graphicData uri="http://schemas.openxmlformats.org/drawingml/2006/chart">
          <c:chart xmlns:c="http://schemas.openxmlformats.org/drawingml/2006/chart" r:id="rId4"/>
        </a:graphicData>
      </a:graphic>
    </xdr:graphicFrame>
    <xdr:clientData/>
  </xdr:twoCellAnchor>
  <xdr:twoCellAnchor>
    <xdr:from>
      <xdr:col>13</xdr:col>
      <xdr:colOff>47625</xdr:colOff>
      <xdr:row>15</xdr:row>
      <xdr:rowOff>228600</xdr:rowOff>
    </xdr:from>
    <xdr:to>
      <xdr:col>19</xdr:col>
      <xdr:colOff>285750</xdr:colOff>
      <xdr:row>21</xdr:row>
      <xdr:rowOff>295275</xdr:rowOff>
    </xdr:to>
    <xdr:graphicFrame macro="">
      <xdr:nvGraphicFramePr>
        <xdr:cNvPr id="14" name="Wykres 13"/>
        <xdr:cNvGraphicFramePr/>
      </xdr:nvGraphicFramePr>
      <xdr:xfrm>
        <a:off x="5972175" y="3276600"/>
        <a:ext cx="3038475" cy="2352675"/>
      </xdr:xfrm>
      <a:graphic>
        <a:graphicData uri="http://schemas.openxmlformats.org/drawingml/2006/chart">
          <c:chart xmlns:c="http://schemas.openxmlformats.org/drawingml/2006/chart" r:id="rId5"/>
        </a:graphicData>
      </a:graphic>
    </xdr:graphicFrame>
    <xdr:clientData/>
  </xdr:twoCellAnchor>
  <xdr:twoCellAnchor editAs="oneCell">
    <xdr:from>
      <xdr:col>20</xdr:col>
      <xdr:colOff>161925</xdr:colOff>
      <xdr:row>35</xdr:row>
      <xdr:rowOff>38100</xdr:rowOff>
    </xdr:from>
    <xdr:to>
      <xdr:col>20</xdr:col>
      <xdr:colOff>438150</xdr:colOff>
      <xdr:row>35</xdr:row>
      <xdr:rowOff>266700</xdr:rowOff>
    </xdr:to>
    <xdr:pic>
      <xdr:nvPicPr>
        <xdr:cNvPr id="26" name="Obraz 25"/>
        <xdr:cNvPicPr preferRelativeResize="1">
          <a:picLocks noChangeAspect="1"/>
        </xdr:cNvPicPr>
      </xdr:nvPicPr>
      <xdr:blipFill>
        <a:blip r:embed="rId6"/>
        <a:stretch>
          <a:fillRect/>
        </a:stretch>
      </xdr:blipFill>
      <xdr:spPr>
        <a:xfrm rot="5400000">
          <a:off x="9353550" y="8524875"/>
          <a:ext cx="276225" cy="228600"/>
        </a:xfrm>
        <a:prstGeom prst="rect">
          <a:avLst/>
        </a:prstGeom>
        <a:ln>
          <a:noFill/>
        </a:ln>
      </xdr:spPr>
    </xdr:pic>
    <xdr:clientData/>
  </xdr:twoCellAnchor>
  <xdr:twoCellAnchor editAs="oneCell">
    <xdr:from>
      <xdr:col>20</xdr:col>
      <xdr:colOff>142875</xdr:colOff>
      <xdr:row>13</xdr:row>
      <xdr:rowOff>38100</xdr:rowOff>
    </xdr:from>
    <xdr:to>
      <xdr:col>20</xdr:col>
      <xdr:colOff>419100</xdr:colOff>
      <xdr:row>13</xdr:row>
      <xdr:rowOff>276225</xdr:rowOff>
    </xdr:to>
    <xdr:pic>
      <xdr:nvPicPr>
        <xdr:cNvPr id="27" name="Obraz 26"/>
        <xdr:cNvPicPr preferRelativeResize="1">
          <a:picLocks noChangeAspect="1"/>
        </xdr:cNvPicPr>
      </xdr:nvPicPr>
      <xdr:blipFill>
        <a:blip r:embed="rId6"/>
        <a:stretch>
          <a:fillRect/>
        </a:stretch>
      </xdr:blipFill>
      <xdr:spPr>
        <a:xfrm rot="5400000">
          <a:off x="9334500" y="2733675"/>
          <a:ext cx="276225" cy="238125"/>
        </a:xfrm>
        <a:prstGeom prst="rect">
          <a:avLst/>
        </a:prstGeom>
        <a:ln>
          <a:noFill/>
        </a:ln>
      </xdr:spPr>
    </xdr:pic>
    <xdr:clientData/>
  </xdr:twoCellAnchor>
  <xdr:twoCellAnchor>
    <xdr:from>
      <xdr:col>2</xdr:col>
      <xdr:colOff>38100</xdr:colOff>
      <xdr:row>4</xdr:row>
      <xdr:rowOff>9525</xdr:rowOff>
    </xdr:from>
    <xdr:to>
      <xdr:col>4</xdr:col>
      <xdr:colOff>114300</xdr:colOff>
      <xdr:row>5</xdr:row>
      <xdr:rowOff>47625</xdr:rowOff>
    </xdr:to>
    <xdr:sp macro="" textlink="">
      <xdr:nvSpPr>
        <xdr:cNvPr id="28" name="Prostokąt: zaokrąglone rogi 1"/>
        <xdr:cNvSpPr/>
      </xdr:nvSpPr>
      <xdr:spPr>
        <a:xfrm>
          <a:off x="200025" y="847725"/>
          <a:ext cx="1485900" cy="304800"/>
        </a:xfrm>
        <a:prstGeom prst="roundRect">
          <a:avLst/>
        </a:prstGeom>
        <a:solidFill>
          <a:srgbClr val="D9D9D9"/>
        </a:solidFill>
        <a:ln w="19050">
          <a:solidFill>
            <a:schemeClr val="bg1">
              <a:lumMod val="50000"/>
            </a:schemeClr>
          </a:solidFill>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pl-PL" sz="1100" b="0" i="1">
              <a:solidFill>
                <a:sysClr val="windowText" lastClr="000000"/>
              </a:solidFill>
              <a:effectLst/>
              <a:latin typeface="Fira Sans SemiBold" panose="020B0603050000020004" pitchFamily="34" charset="0"/>
              <a:ea typeface="Fira Sans SemiBold" panose="020B0603050000020004" pitchFamily="34" charset="0"/>
              <a:cs typeface="+mn-cs"/>
            </a:rPr>
            <a:t>Wybierz wyrób:</a:t>
          </a:r>
          <a:endParaRPr lang="pl-PL" sz="1100">
            <a:solidFill>
              <a:sysClr val="windowText" lastClr="000000"/>
            </a:solidFill>
            <a:effectLst/>
            <a:latin typeface="Fira Sans SemiBold" panose="020B0603050000020004" pitchFamily="34" charset="0"/>
            <a:ea typeface="Fira Sans SemiBold" panose="020B0603050000020004" pitchFamily="34" charset="0"/>
          </a:endParaRPr>
        </a:p>
      </xdr:txBody>
    </xdr:sp>
    <xdr:clientData/>
  </xdr:twoCellAnchor>
  <xdr:twoCellAnchor>
    <xdr:from>
      <xdr:col>2</xdr:col>
      <xdr:colOff>19050</xdr:colOff>
      <xdr:row>27</xdr:row>
      <xdr:rowOff>9525</xdr:rowOff>
    </xdr:from>
    <xdr:to>
      <xdr:col>4</xdr:col>
      <xdr:colOff>95250</xdr:colOff>
      <xdr:row>28</xdr:row>
      <xdr:rowOff>47625</xdr:rowOff>
    </xdr:to>
    <xdr:sp macro="" textlink="">
      <xdr:nvSpPr>
        <xdr:cNvPr id="29" name="Prostokąt: zaokrąglone rogi 1"/>
        <xdr:cNvSpPr/>
      </xdr:nvSpPr>
      <xdr:spPr>
        <a:xfrm>
          <a:off x="180975" y="6696075"/>
          <a:ext cx="1485900" cy="304800"/>
        </a:xfrm>
        <a:prstGeom prst="roundRect">
          <a:avLst/>
        </a:prstGeom>
        <a:solidFill>
          <a:srgbClr val="D9D9D9"/>
        </a:solidFill>
        <a:ln w="19050">
          <a:solidFill>
            <a:schemeClr val="bg1">
              <a:lumMod val="50000"/>
            </a:schemeClr>
          </a:solidFill>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pl-PL" sz="1100" b="0" i="0">
              <a:solidFill>
                <a:sysClr val="windowText" lastClr="000000"/>
              </a:solidFill>
              <a:effectLst/>
              <a:latin typeface="Fira Sans SemiBold" panose="020B0603050000020004" pitchFamily="34" charset="0"/>
              <a:ea typeface="Fira Sans SemiBold" panose="020B0603050000020004" pitchFamily="34" charset="0"/>
              <a:cs typeface="+mn-cs"/>
            </a:rPr>
            <a:t>Wybierz wyrób:</a:t>
          </a:r>
          <a:endParaRPr lang="pl-PL" sz="1100" i="0">
            <a:solidFill>
              <a:sysClr val="windowText" lastClr="000000"/>
            </a:solidFill>
            <a:effectLst/>
            <a:latin typeface="Fira Sans SemiBold" panose="020B0603050000020004" pitchFamily="34" charset="0"/>
            <a:ea typeface="Fira Sans SemiBold" panose="020B0603050000020004" pitchFamily="34" charset="0"/>
          </a:endParaRPr>
        </a:p>
      </xdr:txBody>
    </xdr:sp>
    <xdr:clientData/>
  </xdr:twoCellAnchor>
  <xdr:twoCellAnchor editAs="oneCell">
    <xdr:from>
      <xdr:col>22</xdr:col>
      <xdr:colOff>962025</xdr:colOff>
      <xdr:row>24</xdr:row>
      <xdr:rowOff>66675</xdr:rowOff>
    </xdr:from>
    <xdr:to>
      <xdr:col>22</xdr:col>
      <xdr:colOff>1533525</xdr:colOff>
      <xdr:row>26</xdr:row>
      <xdr:rowOff>9525</xdr:rowOff>
    </xdr:to>
    <xdr:pic>
      <xdr:nvPicPr>
        <xdr:cNvPr id="24" name="Obraz 23" descr="C:\Users\Karo\Downloads\MC900431538.PNG"/>
        <xdr:cNvPicPr preferRelativeResize="1">
          <a:picLocks noChangeAspect="1"/>
        </xdr:cNvPicPr>
      </xdr:nvPicPr>
      <xdr:blipFill>
        <a:blip r:embed="rId7"/>
        <a:stretch>
          <a:fillRect/>
        </a:stretch>
      </xdr:blipFill>
      <xdr:spPr bwMode="auto">
        <a:xfrm flipH="1">
          <a:off x="10658475" y="5972175"/>
          <a:ext cx="571500" cy="552450"/>
        </a:xfrm>
        <a:prstGeom prst="rect">
          <a:avLst/>
        </a:prstGeom>
        <a:noFill/>
        <a:ln w="9525">
          <a:noFill/>
        </a:ln>
      </xdr:spPr>
    </xdr:pic>
    <xdr:clientData/>
  </xdr:twoCellAnchor>
  <xdr:twoCellAnchor>
    <xdr:from>
      <xdr:col>2</xdr:col>
      <xdr:colOff>85725</xdr:colOff>
      <xdr:row>33</xdr:row>
      <xdr:rowOff>295275</xdr:rowOff>
    </xdr:from>
    <xdr:to>
      <xdr:col>6</xdr:col>
      <xdr:colOff>219075</xdr:colOff>
      <xdr:row>43</xdr:row>
      <xdr:rowOff>333375</xdr:rowOff>
    </xdr:to>
    <xdr:graphicFrame macro="">
      <xdr:nvGraphicFramePr>
        <xdr:cNvPr id="25" name="Wykres 24"/>
        <xdr:cNvGraphicFramePr/>
      </xdr:nvGraphicFramePr>
      <xdr:xfrm>
        <a:off x="247650" y="8420100"/>
        <a:ext cx="2952750" cy="3038475"/>
      </xdr:xfrm>
      <a:graphic>
        <a:graphicData uri="http://schemas.openxmlformats.org/drawingml/2006/chart">
          <c:chart xmlns:c="http://schemas.openxmlformats.org/drawingml/2006/chart" r:id="rId8"/>
        </a:graphicData>
      </a:graphic>
    </xdr:graphicFrame>
    <xdr:clientData/>
  </xdr:twoCellAnchor>
  <xdr:twoCellAnchor>
    <xdr:from>
      <xdr:col>6</xdr:col>
      <xdr:colOff>514350</xdr:colOff>
      <xdr:row>33</xdr:row>
      <xdr:rowOff>295275</xdr:rowOff>
    </xdr:from>
    <xdr:to>
      <xdr:col>9</xdr:col>
      <xdr:colOff>571500</xdr:colOff>
      <xdr:row>43</xdr:row>
      <xdr:rowOff>342900</xdr:rowOff>
    </xdr:to>
    <xdr:graphicFrame macro="">
      <xdr:nvGraphicFramePr>
        <xdr:cNvPr id="31" name="Wykres 30"/>
        <xdr:cNvGraphicFramePr/>
      </xdr:nvGraphicFramePr>
      <xdr:xfrm>
        <a:off x="3495675" y="8420100"/>
        <a:ext cx="2171700" cy="3048000"/>
      </xdr:xfrm>
      <a:graphic>
        <a:graphicData uri="http://schemas.openxmlformats.org/drawingml/2006/chart">
          <c:chart xmlns:c="http://schemas.openxmlformats.org/drawingml/2006/chart" r:id="rId9"/>
        </a:graphicData>
      </a:graphic>
    </xdr:graphicFrame>
    <xdr:clientData/>
  </xdr:twoCellAnchor>
  <xdr:twoCellAnchor>
    <xdr:from>
      <xdr:col>2</xdr:col>
      <xdr:colOff>133350</xdr:colOff>
      <xdr:row>34</xdr:row>
      <xdr:rowOff>28575</xdr:rowOff>
    </xdr:from>
    <xdr:to>
      <xdr:col>6</xdr:col>
      <xdr:colOff>209550</xdr:colOff>
      <xdr:row>43</xdr:row>
      <xdr:rowOff>57150</xdr:rowOff>
    </xdr:to>
    <xdr:graphicFrame macro="">
      <xdr:nvGraphicFramePr>
        <xdr:cNvPr id="32" name="Wykres 31"/>
        <xdr:cNvGraphicFramePr/>
      </xdr:nvGraphicFramePr>
      <xdr:xfrm>
        <a:off x="295275" y="8458200"/>
        <a:ext cx="2895600" cy="2724150"/>
      </xdr:xfrm>
      <a:graphic>
        <a:graphicData uri="http://schemas.openxmlformats.org/drawingml/2006/chart">
          <c:chart xmlns:c="http://schemas.openxmlformats.org/drawingml/2006/chart" r:id="rId10"/>
        </a:graphicData>
      </a:graphic>
    </xdr:graphicFrame>
    <xdr:clientData/>
  </xdr:twoCellAnchor>
  <xdr:twoCellAnchor editAs="oneCell">
    <xdr:from>
      <xdr:col>22</xdr:col>
      <xdr:colOff>942975</xdr:colOff>
      <xdr:row>2</xdr:row>
      <xdr:rowOff>47625</xdr:rowOff>
    </xdr:from>
    <xdr:to>
      <xdr:col>22</xdr:col>
      <xdr:colOff>1514475</xdr:colOff>
      <xdr:row>3</xdr:row>
      <xdr:rowOff>57150</xdr:rowOff>
    </xdr:to>
    <xdr:pic>
      <xdr:nvPicPr>
        <xdr:cNvPr id="30" name="Obraz 29" descr="C:\Users\Karo\Downloads\MC900431538.PNG"/>
        <xdr:cNvPicPr preferRelativeResize="1">
          <a:picLocks noChangeAspect="1"/>
        </xdr:cNvPicPr>
      </xdr:nvPicPr>
      <xdr:blipFill>
        <a:blip r:embed="rId7"/>
        <a:stretch>
          <a:fillRect/>
        </a:stretch>
      </xdr:blipFill>
      <xdr:spPr bwMode="auto">
        <a:xfrm>
          <a:off x="10639425" y="180975"/>
          <a:ext cx="571500" cy="514350"/>
        </a:xfrm>
        <a:prstGeom prst="rect">
          <a:avLst/>
        </a:prstGeom>
        <a:noFill/>
        <a:ln w="9525">
          <a:noFill/>
        </a:ln>
      </xdr:spPr>
    </xdr:pic>
    <xdr:clientData/>
  </xdr:twoCellAnchor>
  <xdr:twoCellAnchor>
    <xdr:from>
      <xdr:col>19</xdr:col>
      <xdr:colOff>333375</xdr:colOff>
      <xdr:row>37</xdr:row>
      <xdr:rowOff>371475</xdr:rowOff>
    </xdr:from>
    <xdr:to>
      <xdr:col>22</xdr:col>
      <xdr:colOff>1381125</xdr:colOff>
      <xdr:row>43</xdr:row>
      <xdr:rowOff>38100</xdr:rowOff>
    </xdr:to>
    <xdr:graphicFrame macro="">
      <xdr:nvGraphicFramePr>
        <xdr:cNvPr id="22" name="Wykres 21"/>
        <xdr:cNvGraphicFramePr/>
      </xdr:nvGraphicFramePr>
      <xdr:xfrm>
        <a:off x="9058275" y="9210675"/>
        <a:ext cx="2019300" cy="1952625"/>
      </xdr:xfrm>
      <a:graphic>
        <a:graphicData uri="http://schemas.openxmlformats.org/drawingml/2006/chart">
          <c:chart xmlns:c="http://schemas.openxmlformats.org/drawingml/2006/chart" r:id="rId11"/>
        </a:graphicData>
      </a:graphic>
    </xdr:graphicFrame>
    <xdr:clientData/>
  </xdr:twoCellAnchor>
  <xdr:twoCellAnchor>
    <xdr:from>
      <xdr:col>6</xdr:col>
      <xdr:colOff>323850</xdr:colOff>
      <xdr:row>37</xdr:row>
      <xdr:rowOff>47625</xdr:rowOff>
    </xdr:from>
    <xdr:to>
      <xdr:col>9</xdr:col>
      <xdr:colOff>514350</xdr:colOff>
      <xdr:row>42</xdr:row>
      <xdr:rowOff>304800</xdr:rowOff>
    </xdr:to>
    <xdr:graphicFrame macro="">
      <xdr:nvGraphicFramePr>
        <xdr:cNvPr id="20" name="Wykres 19"/>
        <xdr:cNvGraphicFramePr/>
      </xdr:nvGraphicFramePr>
      <xdr:xfrm>
        <a:off x="3305175" y="8886825"/>
        <a:ext cx="2305050" cy="2162175"/>
      </xdr:xfrm>
      <a:graphic>
        <a:graphicData uri="http://schemas.openxmlformats.org/drawingml/2006/chart">
          <c:chart xmlns:c="http://schemas.openxmlformats.org/drawingml/2006/chart" r:id="rId1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0</xdr:row>
      <xdr:rowOff>0</xdr:rowOff>
    </xdr:from>
    <xdr:to>
      <xdr:col>24</xdr:col>
      <xdr:colOff>438150</xdr:colOff>
      <xdr:row>8</xdr:row>
      <xdr:rowOff>123825</xdr:rowOff>
    </xdr:to>
    <xdr:sp macro="" textlink="">
      <xdr:nvSpPr>
        <xdr:cNvPr id="3" name="Pole tekstowe 5"/>
        <xdr:cNvSpPr txBox="1">
          <a:spLocks noChangeArrowheads="1"/>
        </xdr:cNvSpPr>
      </xdr:nvSpPr>
      <xdr:spPr bwMode="auto">
        <a:xfrm rot="16200000">
          <a:off x="17745075" y="0"/>
          <a:ext cx="323850" cy="2066925"/>
        </a:xfrm>
        <a:prstGeom prst="roundRect">
          <a:avLst>
            <a:gd name="adj" fmla="val 50000"/>
          </a:avLst>
        </a:prstGeom>
        <a:noFill/>
        <a:ln w="9525">
          <a:noFill/>
        </a:ln>
      </xdr:spPr>
      <xdr:txBody>
        <a:bodyPr vertOverflow="clip" vert="vert270" wrap="square" lIns="27432" tIns="27432" rIns="0" bIns="0" anchor="ctr" upright="1"/>
        <a:lstStyle/>
        <a:p>
          <a:pPr algn="ctr" rtl="0">
            <a:defRPr sz="1000"/>
          </a:pPr>
          <a:r>
            <a:rPr lang="pl-PL" sz="1000" b="1" i="0" u="none" strike="noStrike" cap="none" spc="0" baseline="0">
              <a:ln w="0"/>
              <a:solidFill>
                <a:schemeClr val="tx1"/>
              </a:solidFill>
              <a:effectLst>
                <a:outerShdw blurRad="38100" dist="19050" dir="2700000" algn="tl" rotWithShape="0">
                  <a:schemeClr val="dk1">
                    <a:alpha val="40000"/>
                  </a:schemeClr>
                </a:outerShdw>
              </a:effectLst>
              <a:latin typeface="Calibri"/>
              <a:cs typeface="Calibri"/>
            </a:rPr>
            <a:t>Tajemnica statystyczna</a:t>
          </a:r>
        </a:p>
      </xdr:txBody>
    </xdr:sp>
    <xdr:clientData/>
  </xdr:twoCellAnchor>
  <xdr:twoCellAnchor>
    <xdr:from>
      <xdr:col>25</xdr:col>
      <xdr:colOff>0</xdr:colOff>
      <xdr:row>0</xdr:row>
      <xdr:rowOff>0</xdr:rowOff>
    </xdr:from>
    <xdr:to>
      <xdr:col>25</xdr:col>
      <xdr:colOff>514350</xdr:colOff>
      <xdr:row>8</xdr:row>
      <xdr:rowOff>123825</xdr:rowOff>
    </xdr:to>
    <xdr:sp macro="" textlink="">
      <xdr:nvSpPr>
        <xdr:cNvPr id="5" name="Pole tekstowe 5"/>
        <xdr:cNvSpPr txBox="1">
          <a:spLocks noChangeArrowheads="1"/>
        </xdr:cNvSpPr>
      </xdr:nvSpPr>
      <xdr:spPr bwMode="auto">
        <a:xfrm rot="16200000">
          <a:off x="18240375" y="0"/>
          <a:ext cx="514350" cy="2066925"/>
        </a:xfrm>
        <a:prstGeom prst="roundRect">
          <a:avLst>
            <a:gd name="adj" fmla="val 50000"/>
          </a:avLst>
        </a:prstGeom>
        <a:noFill/>
        <a:ln w="9525">
          <a:noFill/>
        </a:ln>
      </xdr:spPr>
      <xdr:txBody>
        <a:bodyPr vertOverflow="clip" vert="vert270" wrap="square" lIns="27432" tIns="27432" rIns="0" bIns="0" anchor="ctr" upright="1"/>
        <a:lstStyle/>
        <a:p>
          <a:pPr algn="ctr" rtl="0">
            <a:defRPr sz="1000"/>
          </a:pPr>
          <a:r>
            <a:rPr lang="pl-PL" sz="1000" b="1" i="0" u="none" strike="noStrike" cap="none" spc="0" baseline="0">
              <a:ln w="0"/>
              <a:solidFill>
                <a:schemeClr val="tx1"/>
              </a:solidFill>
              <a:effectLst>
                <a:outerShdw blurRad="38100" dist="19050" dir="2700000" algn="tl" rotWithShape="0">
                  <a:schemeClr val="dk1">
                    <a:alpha val="40000"/>
                  </a:schemeClr>
                </a:outerShdw>
              </a:effectLst>
              <a:latin typeface="Calibri"/>
              <a:cs typeface="Calibri"/>
            </a:rPr>
            <a:t>Wypełnienie pozycji jest niemożliwe</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tat.gov.pl/Klasyfikacje/" TargetMode="External" /><Relationship Id="rId2" Type="http://schemas.openxmlformats.org/officeDocument/2006/relationships/hyperlink" Target="http://form.stat.gov.pl/formularze/form_prodpol_2017/2016/badania-roczne.htm" TargetMode="External" /><Relationship Id="rId3" Type="http://schemas.openxmlformats.org/officeDocument/2006/relationships/hyperlink" Target="http://form.stat.gov.pl/formularze/form_prodpol_2017/2016/badania-roczne.htm" TargetMode="External" /><Relationship Id="rId4" Type="http://schemas.openxmlformats.org/officeDocument/2006/relationships/hyperlink" Target="https://ec.europa.eu/eurostat/ramon/nomenclatures/index.cfm?TargetUrl=LST_NOM_DTL&amp;StrNom=PRD_2019&amp;StrLanguageCode=PL&amp;IntPcKey=&amp;StrLayoutCode=HIERARCHIC&amp;IntCurrentPage=1" TargetMode="External" /><Relationship Id="rId5" Type="http://schemas.openxmlformats.org/officeDocument/2006/relationships/hyperlink" Target="http://form.stat.gov.pl/formularze/formularze.htm" TargetMode="External" /><Relationship Id="rId6" Type="http://schemas.openxmlformats.org/officeDocument/2006/relationships/hyperlink" Target="https://stat.gov.pl/Klasyfikacje/"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openxmlformats.org/officeDocument/2006/relationships/ctrlProp" Target="../ctrlProps/ctrlProp4.xml" /><Relationship Id="rId9" Type="http://schemas.openxmlformats.org/officeDocument/2006/relationships/ctrlProp" Target="../ctrlProps/ctrlProp6.xml" /><Relationship Id="rId8" Type="http://schemas.openxmlformats.org/officeDocument/2006/relationships/ctrlProp" Target="../ctrlProps/ctrlProp5.xml" /><Relationship Id="rId6" Type="http://schemas.openxmlformats.org/officeDocument/2006/relationships/ctrlProp" Target="../ctrlProps/ctrlProp3.xml" /><Relationship Id="rId10" Type="http://schemas.openxmlformats.org/officeDocument/2006/relationships/ctrlProp" Target="../ctrlProps/ctrlProp7.xml" /><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9.xml" /><Relationship Id="rId6" Type="http://schemas.openxmlformats.org/officeDocument/2006/relationships/ctrlProp" Target="../ctrlProps/ctrlProp10.xml" /><Relationship Id="rId4" Type="http://schemas.openxmlformats.org/officeDocument/2006/relationships/ctrlProp" Target="../ctrlProps/ctrlProp8.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11.xml" /><Relationship Id="rId5" Type="http://schemas.openxmlformats.org/officeDocument/2006/relationships/ctrlProp" Target="../ctrlProps/ctrlProp12.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699890613556"/>
    <pageSetUpPr fitToPage="1"/>
  </sheetPr>
  <dimension ref="A1:U41"/>
  <sheetViews>
    <sheetView showGridLines="0" showRowColHeaders="0" tabSelected="1" workbookViewId="0" topLeftCell="B1">
      <selection activeCell="D21" sqref="D21"/>
    </sheetView>
  </sheetViews>
  <sheetFormatPr defaultColWidth="9.140625" defaultRowHeight="34.5" customHeight="1"/>
  <cols>
    <col min="1" max="1" width="18.140625" style="207" customWidth="1"/>
    <col min="2" max="2" width="27.421875" style="208" customWidth="1"/>
    <col min="3" max="4" width="22.140625" style="209" customWidth="1"/>
    <col min="5" max="5" width="26.421875" style="209" customWidth="1"/>
    <col min="6" max="6" width="22.140625" style="209" customWidth="1"/>
    <col min="7" max="7" width="5.00390625" style="209" customWidth="1"/>
    <col min="8" max="8" width="3.00390625" style="209" customWidth="1"/>
    <col min="9" max="19" width="9.421875" style="210" customWidth="1"/>
    <col min="20" max="16384" width="9.140625" style="209" customWidth="1"/>
  </cols>
  <sheetData>
    <row r="1" spans="1:20" ht="36.75" customHeight="1">
      <c r="A1" s="314"/>
      <c r="B1" s="315"/>
      <c r="C1" s="368" t="s">
        <v>4565</v>
      </c>
      <c r="D1" s="369"/>
      <c r="E1" s="369"/>
      <c r="F1" s="369"/>
      <c r="G1" s="369"/>
      <c r="H1" s="369"/>
      <c r="I1" s="369"/>
      <c r="J1" s="369"/>
      <c r="K1" s="369"/>
      <c r="L1" s="369"/>
      <c r="M1" s="369"/>
      <c r="N1" s="316"/>
      <c r="O1" s="316"/>
      <c r="P1" s="316"/>
      <c r="Q1" s="316"/>
      <c r="R1" s="316"/>
      <c r="S1" s="316"/>
      <c r="T1" s="317"/>
    </row>
    <row r="2" spans="1:20" s="211" customFormat="1" ht="90" customHeight="1">
      <c r="A2" s="318"/>
      <c r="B2" s="318"/>
      <c r="C2" s="377" t="s">
        <v>4577</v>
      </c>
      <c r="D2" s="377"/>
      <c r="E2" s="377"/>
      <c r="F2" s="377"/>
      <c r="G2" s="377"/>
      <c r="H2" s="377"/>
      <c r="I2" s="377"/>
      <c r="J2" s="377"/>
      <c r="K2" s="377"/>
      <c r="L2" s="377"/>
      <c r="M2" s="377"/>
      <c r="N2" s="319"/>
      <c r="O2" s="319"/>
      <c r="P2" s="319"/>
      <c r="Q2" s="319"/>
      <c r="R2" s="320"/>
      <c r="S2" s="321"/>
      <c r="T2" s="318"/>
    </row>
    <row r="3" spans="1:20" s="310" customFormat="1" ht="68.25" customHeight="1">
      <c r="A3" s="322"/>
      <c r="B3" s="323"/>
      <c r="C3" s="378" t="s">
        <v>4603</v>
      </c>
      <c r="D3" s="379"/>
      <c r="E3" s="379"/>
      <c r="F3" s="379"/>
      <c r="G3" s="379"/>
      <c r="H3" s="379"/>
      <c r="I3" s="379"/>
      <c r="J3" s="379"/>
      <c r="K3" s="379"/>
      <c r="L3" s="379"/>
      <c r="M3" s="379"/>
      <c r="N3" s="324"/>
      <c r="O3" s="323"/>
      <c r="P3" s="323"/>
      <c r="Q3" s="324"/>
      <c r="R3" s="324"/>
      <c r="S3" s="324"/>
      <c r="T3" s="323"/>
    </row>
    <row r="4" spans="9:19" ht="17.25" customHeight="1">
      <c r="I4" s="325" t="s">
        <v>4541</v>
      </c>
      <c r="J4" s="318"/>
      <c r="K4" s="326"/>
      <c r="L4" s="326"/>
      <c r="M4" s="326"/>
      <c r="N4" s="326"/>
      <c r="O4" s="326"/>
      <c r="P4" s="326"/>
      <c r="Q4" s="326"/>
      <c r="R4" s="326"/>
      <c r="S4" s="326"/>
    </row>
    <row r="5" spans="9:19" ht="17.25" customHeight="1">
      <c r="I5" s="374" t="s">
        <v>4578</v>
      </c>
      <c r="J5" s="374"/>
      <c r="K5" s="374"/>
      <c r="L5" s="374"/>
      <c r="M5" s="374"/>
      <c r="N5" s="374"/>
      <c r="O5" s="374"/>
      <c r="P5" s="374"/>
      <c r="Q5" s="374"/>
      <c r="R5" s="374"/>
      <c r="S5" s="374"/>
    </row>
    <row r="6" spans="9:19" ht="17.25" customHeight="1">
      <c r="I6" s="374"/>
      <c r="J6" s="374"/>
      <c r="K6" s="374"/>
      <c r="L6" s="374"/>
      <c r="M6" s="374"/>
      <c r="N6" s="374"/>
      <c r="O6" s="374"/>
      <c r="P6" s="374"/>
      <c r="Q6" s="374"/>
      <c r="R6" s="374"/>
      <c r="S6" s="374"/>
    </row>
    <row r="7" spans="9:19" ht="17.25" customHeight="1">
      <c r="I7" s="374"/>
      <c r="J7" s="374"/>
      <c r="K7" s="374"/>
      <c r="L7" s="374"/>
      <c r="M7" s="374"/>
      <c r="N7" s="374"/>
      <c r="O7" s="374"/>
      <c r="P7" s="374"/>
      <c r="Q7" s="374"/>
      <c r="R7" s="374"/>
      <c r="S7" s="374"/>
    </row>
    <row r="8" spans="9:19" ht="17.25" customHeight="1">
      <c r="I8" s="374"/>
      <c r="J8" s="374"/>
      <c r="K8" s="374"/>
      <c r="L8" s="374"/>
      <c r="M8" s="374"/>
      <c r="N8" s="374"/>
      <c r="O8" s="374"/>
      <c r="P8" s="374"/>
      <c r="Q8" s="374"/>
      <c r="R8" s="374"/>
      <c r="S8" s="374"/>
    </row>
    <row r="9" spans="9:19" ht="6.75" customHeight="1">
      <c r="I9" s="327"/>
      <c r="J9" s="318"/>
      <c r="K9" s="326"/>
      <c r="L9" s="326"/>
      <c r="M9" s="326"/>
      <c r="N9" s="326"/>
      <c r="O9" s="326"/>
      <c r="P9" s="326"/>
      <c r="Q9" s="326"/>
      <c r="R9" s="326"/>
      <c r="S9" s="326"/>
    </row>
    <row r="10" spans="9:19" ht="17.25" customHeight="1">
      <c r="I10" s="374" t="s">
        <v>4561</v>
      </c>
      <c r="J10" s="374"/>
      <c r="K10" s="374"/>
      <c r="L10" s="374"/>
      <c r="M10" s="374"/>
      <c r="N10" s="374"/>
      <c r="O10" s="374"/>
      <c r="P10" s="374"/>
      <c r="Q10" s="374"/>
      <c r="R10" s="374"/>
      <c r="S10" s="374"/>
    </row>
    <row r="11" spans="9:19" ht="17.25" customHeight="1">
      <c r="I11" s="374"/>
      <c r="J11" s="374"/>
      <c r="K11" s="374"/>
      <c r="L11" s="374"/>
      <c r="M11" s="374"/>
      <c r="N11" s="374"/>
      <c r="O11" s="374"/>
      <c r="P11" s="374"/>
      <c r="Q11" s="374"/>
      <c r="R11" s="374"/>
      <c r="S11" s="374"/>
    </row>
    <row r="12" spans="9:19" ht="17.25" customHeight="1">
      <c r="I12" s="374"/>
      <c r="J12" s="374"/>
      <c r="K12" s="374"/>
      <c r="L12" s="374"/>
      <c r="M12" s="374"/>
      <c r="N12" s="374"/>
      <c r="O12" s="374"/>
      <c r="P12" s="374"/>
      <c r="Q12" s="374"/>
      <c r="R12" s="374"/>
      <c r="S12" s="374"/>
    </row>
    <row r="13" spans="9:19" ht="17.25" customHeight="1">
      <c r="I13" s="374"/>
      <c r="J13" s="374"/>
      <c r="K13" s="374"/>
      <c r="L13" s="374"/>
      <c r="M13" s="374"/>
      <c r="N13" s="374"/>
      <c r="O13" s="374"/>
      <c r="P13" s="374"/>
      <c r="Q13" s="374"/>
      <c r="R13" s="374"/>
      <c r="S13" s="374"/>
    </row>
    <row r="14" spans="9:19" ht="17.25" customHeight="1">
      <c r="I14" s="374"/>
      <c r="J14" s="374"/>
      <c r="K14" s="374"/>
      <c r="L14" s="374"/>
      <c r="M14" s="374"/>
      <c r="N14" s="374"/>
      <c r="O14" s="374"/>
      <c r="P14" s="374"/>
      <c r="Q14" s="374"/>
      <c r="R14" s="374"/>
      <c r="S14" s="374"/>
    </row>
    <row r="15" spans="9:19" ht="17.25" customHeight="1">
      <c r="I15" s="374"/>
      <c r="J15" s="374"/>
      <c r="K15" s="374"/>
      <c r="L15" s="374"/>
      <c r="M15" s="374"/>
      <c r="N15" s="374"/>
      <c r="O15" s="374"/>
      <c r="P15" s="374"/>
      <c r="Q15" s="374"/>
      <c r="R15" s="374"/>
      <c r="S15" s="374"/>
    </row>
    <row r="16" spans="9:19" ht="17.25" customHeight="1">
      <c r="I16" s="374"/>
      <c r="J16" s="374"/>
      <c r="K16" s="374"/>
      <c r="L16" s="374"/>
      <c r="M16" s="374"/>
      <c r="N16" s="374"/>
      <c r="O16" s="374"/>
      <c r="P16" s="374"/>
      <c r="Q16" s="374"/>
      <c r="R16" s="374"/>
      <c r="S16" s="374"/>
    </row>
    <row r="17" spans="9:19" ht="7.5" customHeight="1">
      <c r="I17" s="317"/>
      <c r="J17" s="317"/>
      <c r="K17" s="317"/>
      <c r="L17" s="317"/>
      <c r="M17" s="317"/>
      <c r="N17" s="317"/>
      <c r="O17" s="317"/>
      <c r="P17" s="317"/>
      <c r="Q17" s="317"/>
      <c r="R17" s="317"/>
      <c r="S17" s="317"/>
    </row>
    <row r="18" spans="2:19" ht="17.25" customHeight="1">
      <c r="B18" s="207"/>
      <c r="C18" s="207"/>
      <c r="D18" s="207"/>
      <c r="I18" s="374" t="s">
        <v>4550</v>
      </c>
      <c r="J18" s="374"/>
      <c r="K18" s="374"/>
      <c r="L18" s="374"/>
      <c r="M18" s="374"/>
      <c r="N18" s="374"/>
      <c r="O18" s="374"/>
      <c r="P18" s="374"/>
      <c r="Q18" s="374"/>
      <c r="R18" s="374"/>
      <c r="S18" s="374"/>
    </row>
    <row r="19" spans="7:21" ht="17.25" customHeight="1">
      <c r="G19" s="215"/>
      <c r="H19" s="215"/>
      <c r="I19" s="374"/>
      <c r="J19" s="374"/>
      <c r="K19" s="374"/>
      <c r="L19" s="374"/>
      <c r="M19" s="374"/>
      <c r="N19" s="374"/>
      <c r="O19" s="374"/>
      <c r="P19" s="374"/>
      <c r="Q19" s="374"/>
      <c r="R19" s="374"/>
      <c r="S19" s="374"/>
      <c r="T19" s="215"/>
      <c r="U19" s="215"/>
    </row>
    <row r="20" spans="1:19" ht="17.25" customHeight="1">
      <c r="A20" s="376"/>
      <c r="B20" s="376"/>
      <c r="C20" s="311"/>
      <c r="D20" s="311"/>
      <c r="E20" s="313"/>
      <c r="F20" s="222"/>
      <c r="I20" s="374"/>
      <c r="J20" s="374"/>
      <c r="K20" s="374"/>
      <c r="L20" s="374"/>
      <c r="M20" s="374"/>
      <c r="N20" s="374"/>
      <c r="O20" s="374"/>
      <c r="P20" s="374"/>
      <c r="Q20" s="374"/>
      <c r="R20" s="374"/>
      <c r="S20" s="374"/>
    </row>
    <row r="21" spans="1:19" ht="20.25" customHeight="1">
      <c r="A21" s="311"/>
      <c r="B21" s="311"/>
      <c r="C21" s="311"/>
      <c r="D21" s="311"/>
      <c r="E21" s="312"/>
      <c r="F21" s="208"/>
      <c r="I21" s="317"/>
      <c r="J21" s="317"/>
      <c r="K21" s="317"/>
      <c r="L21" s="317"/>
      <c r="M21" s="317"/>
      <c r="N21" s="317"/>
      <c r="O21" s="317"/>
      <c r="P21" s="317"/>
      <c r="Q21" s="317"/>
      <c r="R21" s="317"/>
      <c r="S21" s="317"/>
    </row>
    <row r="22" spans="1:19" ht="17.25" customHeight="1">
      <c r="A22" s="311"/>
      <c r="E22" s="312"/>
      <c r="G22" s="217"/>
      <c r="H22" s="217"/>
      <c r="I22" s="328" t="s">
        <v>4548</v>
      </c>
      <c r="J22" s="317"/>
      <c r="K22" s="317"/>
      <c r="L22" s="317"/>
      <c r="M22" s="317"/>
      <c r="N22" s="317"/>
      <c r="O22" s="317"/>
      <c r="P22" s="317"/>
      <c r="Q22" s="317"/>
      <c r="R22" s="317"/>
      <c r="S22" s="317"/>
    </row>
    <row r="23" spans="5:19" ht="17.25" customHeight="1">
      <c r="E23" s="216"/>
      <c r="G23" s="217"/>
      <c r="H23" s="217"/>
      <c r="I23" s="374" t="s">
        <v>4549</v>
      </c>
      <c r="J23" s="374"/>
      <c r="K23" s="374"/>
      <c r="L23" s="374"/>
      <c r="M23" s="374"/>
      <c r="N23" s="374"/>
      <c r="O23" s="374"/>
      <c r="P23" s="374"/>
      <c r="Q23" s="374"/>
      <c r="R23" s="374"/>
      <c r="S23" s="374"/>
    </row>
    <row r="24" spans="5:19" ht="17.25" customHeight="1">
      <c r="E24" s="212"/>
      <c r="F24" s="212"/>
      <c r="G24" s="213"/>
      <c r="H24" s="213"/>
      <c r="I24" s="374"/>
      <c r="J24" s="374"/>
      <c r="K24" s="374"/>
      <c r="L24" s="374"/>
      <c r="M24" s="374"/>
      <c r="N24" s="374"/>
      <c r="O24" s="374"/>
      <c r="P24" s="374"/>
      <c r="Q24" s="374"/>
      <c r="R24" s="374"/>
      <c r="S24" s="374"/>
    </row>
    <row r="25" spans="1:19" ht="16.5" customHeight="1">
      <c r="A25" s="309"/>
      <c r="B25" s="309"/>
      <c r="C25" s="309"/>
      <c r="D25" s="212"/>
      <c r="E25" s="212"/>
      <c r="F25" s="212"/>
      <c r="I25" s="209"/>
      <c r="J25" s="209"/>
      <c r="K25" s="209"/>
      <c r="L25" s="209"/>
      <c r="M25" s="209"/>
      <c r="N25" s="209"/>
      <c r="O25" s="209"/>
      <c r="P25" s="209"/>
      <c r="Q25" s="209"/>
      <c r="R25" s="209"/>
      <c r="S25" s="209"/>
    </row>
    <row r="26" spans="1:19" ht="16.5" customHeight="1">
      <c r="A26" s="309"/>
      <c r="B26" s="309"/>
      <c r="C26" s="309"/>
      <c r="D26" s="214"/>
      <c r="E26" s="214"/>
      <c r="I26" s="223" t="s">
        <v>4546</v>
      </c>
      <c r="J26" s="219"/>
      <c r="K26" s="219"/>
      <c r="L26" s="219"/>
      <c r="M26" s="219"/>
      <c r="N26" s="219"/>
      <c r="O26" s="209"/>
      <c r="P26" s="209"/>
      <c r="Q26" s="209"/>
      <c r="R26" s="209"/>
      <c r="S26" s="209"/>
    </row>
    <row r="27" spans="9:19" ht="16.5" customHeight="1">
      <c r="I27" s="372" t="s">
        <v>4544</v>
      </c>
      <c r="J27" s="372"/>
      <c r="K27" s="372"/>
      <c r="L27" s="372"/>
      <c r="M27" s="372"/>
      <c r="N27" s="372"/>
      <c r="O27" s="209"/>
      <c r="P27" s="209"/>
      <c r="Q27" s="209"/>
      <c r="R27" s="209"/>
      <c r="S27" s="209"/>
    </row>
    <row r="28" spans="9:19" ht="16.5" customHeight="1">
      <c r="I28" s="372" t="s">
        <v>4551</v>
      </c>
      <c r="J28" s="372"/>
      <c r="K28" s="372"/>
      <c r="L28" s="372"/>
      <c r="M28" s="372"/>
      <c r="N28" s="372"/>
      <c r="O28" s="209"/>
      <c r="P28" s="209"/>
      <c r="Q28" s="209"/>
      <c r="R28" s="209"/>
      <c r="S28" s="209"/>
    </row>
    <row r="29" spans="9:19" ht="16.5" customHeight="1">
      <c r="I29" s="373" t="s">
        <v>4545</v>
      </c>
      <c r="J29" s="373"/>
      <c r="K29" s="373"/>
      <c r="L29" s="373"/>
      <c r="M29" s="373"/>
      <c r="N29" s="373"/>
      <c r="O29" s="209"/>
      <c r="P29" s="209"/>
      <c r="Q29" s="209"/>
      <c r="R29" s="209"/>
      <c r="S29" s="209"/>
    </row>
    <row r="30" spans="9:19" ht="16.5" customHeight="1">
      <c r="I30" s="330" t="s">
        <v>4390</v>
      </c>
      <c r="J30" s="329"/>
      <c r="K30" s="329"/>
      <c r="L30" s="329"/>
      <c r="M30" s="220"/>
      <c r="N30" s="220"/>
      <c r="O30" s="221"/>
      <c r="P30" s="221"/>
      <c r="Q30" s="221"/>
      <c r="R30" s="221"/>
      <c r="S30" s="221"/>
    </row>
    <row r="31" spans="1:19" ht="17.25" customHeight="1">
      <c r="A31" s="218"/>
      <c r="B31" s="218"/>
      <c r="C31" s="218"/>
      <c r="I31" s="370" t="s">
        <v>4391</v>
      </c>
      <c r="J31" s="375" t="s">
        <v>4547</v>
      </c>
      <c r="K31" s="375"/>
      <c r="L31" s="375"/>
      <c r="M31" s="375"/>
      <c r="N31" s="375"/>
      <c r="O31" s="375"/>
      <c r="P31" s="375"/>
      <c r="Q31" s="375"/>
      <c r="R31" s="375"/>
      <c r="S31" s="375"/>
    </row>
    <row r="32" spans="9:19" ht="17.25" customHeight="1">
      <c r="I32" s="370"/>
      <c r="J32" s="375"/>
      <c r="K32" s="375"/>
      <c r="L32" s="375"/>
      <c r="M32" s="375"/>
      <c r="N32" s="375"/>
      <c r="O32" s="375"/>
      <c r="P32" s="375"/>
      <c r="Q32" s="375"/>
      <c r="R32" s="375"/>
      <c r="S32" s="375"/>
    </row>
    <row r="33" spans="9:19" ht="17.25" customHeight="1">
      <c r="I33" s="370" t="s">
        <v>4562</v>
      </c>
      <c r="J33" s="371" t="s">
        <v>4393</v>
      </c>
      <c r="K33" s="371"/>
      <c r="L33" s="371"/>
      <c r="M33" s="371"/>
      <c r="N33" s="371"/>
      <c r="O33" s="371"/>
      <c r="P33" s="371"/>
      <c r="Q33" s="371"/>
      <c r="R33" s="371"/>
      <c r="S33" s="371"/>
    </row>
    <row r="34" spans="9:19" ht="17.25" customHeight="1">
      <c r="I34" s="370"/>
      <c r="J34" s="371"/>
      <c r="K34" s="371"/>
      <c r="L34" s="371"/>
      <c r="M34" s="371"/>
      <c r="N34" s="371"/>
      <c r="O34" s="371"/>
      <c r="P34" s="371"/>
      <c r="Q34" s="371"/>
      <c r="R34" s="371"/>
      <c r="S34" s="371"/>
    </row>
    <row r="35" spans="9:19" ht="17.25" customHeight="1">
      <c r="I35" s="370" t="s">
        <v>4392</v>
      </c>
      <c r="J35" s="371" t="s">
        <v>4394</v>
      </c>
      <c r="K35" s="371"/>
      <c r="L35" s="371"/>
      <c r="M35" s="371"/>
      <c r="N35" s="371"/>
      <c r="O35" s="371"/>
      <c r="P35" s="371"/>
      <c r="Q35" s="371"/>
      <c r="R35" s="371"/>
      <c r="S35" s="371"/>
    </row>
    <row r="36" spans="9:19" ht="17.25" customHeight="1">
      <c r="I36" s="370"/>
      <c r="J36" s="371"/>
      <c r="K36" s="371"/>
      <c r="L36" s="371"/>
      <c r="M36" s="371"/>
      <c r="N36" s="371"/>
      <c r="O36" s="371"/>
      <c r="P36" s="371"/>
      <c r="Q36" s="371"/>
      <c r="R36" s="371"/>
      <c r="S36" s="371"/>
    </row>
    <row r="37" spans="9:19" ht="17.25" customHeight="1">
      <c r="I37" s="317"/>
      <c r="J37" s="317"/>
      <c r="K37" s="317"/>
      <c r="L37" s="317"/>
      <c r="M37" s="317"/>
      <c r="N37" s="317"/>
      <c r="O37" s="317"/>
      <c r="P37" s="317"/>
      <c r="Q37" s="317"/>
      <c r="R37" s="317"/>
      <c r="S37" s="317"/>
    </row>
    <row r="38" spans="9:19" ht="17.25" customHeight="1">
      <c r="I38" s="209"/>
      <c r="J38" s="209"/>
      <c r="K38" s="209"/>
      <c r="L38" s="209"/>
      <c r="M38" s="209"/>
      <c r="N38" s="209"/>
      <c r="O38" s="209"/>
      <c r="P38" s="209"/>
      <c r="Q38" s="209"/>
      <c r="R38" s="209"/>
      <c r="S38" s="209"/>
    </row>
    <row r="39" spans="9:19" ht="17.25" customHeight="1">
      <c r="I39" s="209"/>
      <c r="J39" s="209"/>
      <c r="K39" s="209"/>
      <c r="L39" s="209"/>
      <c r="M39" s="209"/>
      <c r="N39" s="209"/>
      <c r="O39" s="209"/>
      <c r="P39" s="209"/>
      <c r="Q39" s="209"/>
      <c r="R39" s="209"/>
      <c r="S39" s="209"/>
    </row>
    <row r="40" spans="9:19" ht="17.25" customHeight="1">
      <c r="I40" s="209"/>
      <c r="J40" s="209"/>
      <c r="K40" s="209"/>
      <c r="L40" s="209"/>
      <c r="M40" s="209"/>
      <c r="N40" s="209"/>
      <c r="O40" s="209"/>
      <c r="P40" s="209"/>
      <c r="Q40" s="209"/>
      <c r="R40" s="209"/>
      <c r="S40" s="209"/>
    </row>
    <row r="41" spans="9:19" ht="17.25" customHeight="1">
      <c r="I41" s="209"/>
      <c r="J41" s="209"/>
      <c r="K41" s="209"/>
      <c r="L41" s="209"/>
      <c r="M41" s="209"/>
      <c r="N41" s="209"/>
      <c r="O41" s="209"/>
      <c r="P41" s="209"/>
      <c r="Q41" s="209"/>
      <c r="R41" s="209"/>
      <c r="S41" s="209"/>
    </row>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sheetData>
  <sheetProtection password="CCDA" sheet="1" objects="1" scenarios="1"/>
  <mergeCells count="17">
    <mergeCell ref="A20:B20"/>
    <mergeCell ref="C2:M2"/>
    <mergeCell ref="C3:M3"/>
    <mergeCell ref="I5:S8"/>
    <mergeCell ref="I28:N28"/>
    <mergeCell ref="I10:S16"/>
    <mergeCell ref="I18:S20"/>
    <mergeCell ref="C1:M1"/>
    <mergeCell ref="I35:I36"/>
    <mergeCell ref="J35:S36"/>
    <mergeCell ref="I27:N27"/>
    <mergeCell ref="I29:N29"/>
    <mergeCell ref="I23:S24"/>
    <mergeCell ref="I31:I32"/>
    <mergeCell ref="J31:S32"/>
    <mergeCell ref="I33:I34"/>
    <mergeCell ref="J33:S34"/>
  </mergeCells>
  <hyperlinks>
    <hyperlink ref="I29" r:id="rId1" display="http://stat.gov.pl/Klasyfikacje/"/>
    <hyperlink ref="I27" r:id="rId2" display="http://form.stat.gov.pl/formularze/form_prodpol_2017/2016/badania-roczne.htm"/>
    <hyperlink ref="I28" r:id="rId3" display="Nomenklatura PRODPOL"/>
    <hyperlink ref="I28:N28" r:id="rId4" display="Lista PRODCOM"/>
    <hyperlink ref="I27:N27" r:id="rId5" display="Nomenklatura PRODPOL"/>
    <hyperlink ref="I29:N29" r:id="rId6" display="Standardowe klasyfikacje i nomenklatury"/>
  </hyperlinks>
  <printOptions/>
  <pageMargins left="0.25" right="0.25" top="0.75" bottom="0.75" header="0.3" footer="0.3"/>
  <pageSetup fitToWidth="0" fitToHeight="1" horizontalDpi="600" verticalDpi="600" orientation="landscape" paperSize="9" scale="59" r:id="rId8"/>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1F6FF"/>
  </sheetPr>
  <dimension ref="B1:AL477"/>
  <sheetViews>
    <sheetView showGridLines="0" showRowColHeaders="0" workbookViewId="0" topLeftCell="A1">
      <selection activeCell="D2" sqref="D2:Q3"/>
    </sheetView>
  </sheetViews>
  <sheetFormatPr defaultColWidth="9.140625" defaultRowHeight="15"/>
  <cols>
    <col min="1" max="1" width="1.57421875" style="117" customWidth="1"/>
    <col min="2" max="2" width="3.421875" style="117" customWidth="1"/>
    <col min="3" max="3" width="0.5625" style="117" customWidth="1"/>
    <col min="4" max="4" width="66.57421875" style="117" customWidth="1"/>
    <col min="5" max="5" width="0.5625" style="117" customWidth="1"/>
    <col min="6" max="6" width="9.57421875" style="119" customWidth="1"/>
    <col min="7" max="7" width="0.5625" style="117" customWidth="1"/>
    <col min="8" max="8" width="16.140625" style="176" customWidth="1"/>
    <col min="9" max="9" width="0.5625" style="176" customWidth="1"/>
    <col min="10" max="10" width="16.140625" style="176" customWidth="1"/>
    <col min="11" max="11" width="0.5625" style="176" customWidth="1"/>
    <col min="12" max="12" width="14.57421875" style="176" customWidth="1"/>
    <col min="13" max="13" width="0.5625" style="176" customWidth="1"/>
    <col min="14" max="15" width="17.00390625" style="176" customWidth="1"/>
    <col min="16" max="16" width="0.5625" style="176" customWidth="1"/>
    <col min="17" max="17" width="14.57421875" style="176" customWidth="1"/>
    <col min="18" max="18" width="0.5625" style="176" customWidth="1"/>
    <col min="19" max="19" width="13.57421875" style="121" customWidth="1"/>
    <col min="20" max="20" width="0.5625" style="121" customWidth="1"/>
    <col min="21" max="21" width="13.57421875" style="121" customWidth="1"/>
    <col min="22" max="22" width="0.5625" style="121" customWidth="1"/>
    <col min="23" max="23" width="13.57421875" style="121" customWidth="1"/>
    <col min="24" max="24" width="0.5625" style="119" customWidth="1"/>
    <col min="25" max="25" width="13.57421875" style="119" customWidth="1"/>
    <col min="26" max="26" width="0.5625" style="119" customWidth="1"/>
    <col min="27" max="27" width="13.57421875" style="119" customWidth="1"/>
    <col min="28" max="28" width="0.5625" style="119" customWidth="1"/>
    <col min="29" max="29" width="13.57421875" style="119" customWidth="1"/>
    <col min="30" max="30" width="0.5625" style="119" customWidth="1"/>
    <col min="31" max="31" width="13.57421875" style="119" customWidth="1"/>
    <col min="32" max="32" width="0.5625" style="119" customWidth="1"/>
    <col min="33" max="33" width="13.57421875" style="119" customWidth="1"/>
    <col min="34" max="34" width="0.5625" style="119" customWidth="1"/>
    <col min="35" max="35" width="13.57421875" style="119" customWidth="1"/>
    <col min="36" max="36" width="0.5625" style="119" customWidth="1"/>
    <col min="37" max="37" width="13.57421875" style="119" customWidth="1"/>
    <col min="38" max="16384" width="9.140625" style="117" customWidth="1"/>
  </cols>
  <sheetData>
    <row r="1" spans="8:37" s="107" customFormat="1" ht="3.75" customHeight="1">
      <c r="H1" s="108"/>
      <c r="I1" s="108"/>
      <c r="J1" s="108"/>
      <c r="K1" s="108"/>
      <c r="L1" s="108"/>
      <c r="M1" s="108"/>
      <c r="N1" s="108"/>
      <c r="O1" s="108"/>
      <c r="P1" s="108"/>
      <c r="Q1" s="108"/>
      <c r="R1" s="108"/>
      <c r="S1" s="109"/>
      <c r="T1" s="109"/>
      <c r="U1" s="109"/>
      <c r="V1" s="109"/>
      <c r="W1" s="109"/>
      <c r="X1" s="110"/>
      <c r="Y1" s="110"/>
      <c r="Z1" s="110"/>
      <c r="AA1" s="110"/>
      <c r="AB1" s="110"/>
      <c r="AC1" s="110"/>
      <c r="AD1" s="110"/>
      <c r="AE1" s="110"/>
      <c r="AF1" s="331"/>
      <c r="AG1" s="331"/>
      <c r="AH1" s="339"/>
      <c r="AI1" s="339"/>
      <c r="AJ1" s="343"/>
      <c r="AK1" s="343"/>
    </row>
    <row r="2" spans="2:37" s="116" customFormat="1" ht="27" customHeight="1">
      <c r="B2" s="111"/>
      <c r="C2" s="112"/>
      <c r="D2" s="381" t="s">
        <v>4566</v>
      </c>
      <c r="E2" s="382"/>
      <c r="F2" s="382"/>
      <c r="G2" s="382"/>
      <c r="H2" s="382"/>
      <c r="I2" s="382"/>
      <c r="J2" s="382"/>
      <c r="K2" s="382"/>
      <c r="L2" s="382"/>
      <c r="M2" s="382"/>
      <c r="N2" s="382"/>
      <c r="O2" s="382"/>
      <c r="P2" s="382"/>
      <c r="Q2" s="382"/>
      <c r="R2" s="113"/>
      <c r="S2" s="114"/>
      <c r="T2" s="114"/>
      <c r="U2" s="114"/>
      <c r="V2" s="114"/>
      <c r="W2" s="114"/>
      <c r="X2" s="115"/>
      <c r="Y2" s="115"/>
      <c r="Z2" s="115"/>
      <c r="AA2" s="115"/>
      <c r="AB2" s="115"/>
      <c r="AC2" s="115"/>
      <c r="AD2" s="115"/>
      <c r="AE2" s="115"/>
      <c r="AF2" s="115"/>
      <c r="AG2" s="115"/>
      <c r="AH2" s="115"/>
      <c r="AI2" s="115"/>
      <c r="AJ2" s="115"/>
      <c r="AK2" s="115"/>
    </row>
    <row r="3" spans="4:24" ht="29.25" customHeight="1" thickBot="1">
      <c r="D3" s="382"/>
      <c r="E3" s="382"/>
      <c r="F3" s="382"/>
      <c r="G3" s="382"/>
      <c r="H3" s="382"/>
      <c r="I3" s="382"/>
      <c r="J3" s="382"/>
      <c r="K3" s="382"/>
      <c r="L3" s="382"/>
      <c r="M3" s="382"/>
      <c r="N3" s="382"/>
      <c r="O3" s="382"/>
      <c r="P3" s="382"/>
      <c r="Q3" s="382"/>
      <c r="R3" s="113"/>
      <c r="S3" s="114"/>
      <c r="T3" s="114"/>
      <c r="U3" s="114"/>
      <c r="V3" s="114"/>
      <c r="W3" s="114"/>
      <c r="X3" s="118"/>
    </row>
    <row r="4" spans="4:20" ht="30.75" customHeight="1" thickBot="1">
      <c r="D4" s="334" t="s">
        <v>4604</v>
      </c>
      <c r="E4" s="120"/>
      <c r="F4" s="396" t="s">
        <v>4579</v>
      </c>
      <c r="G4" s="397"/>
      <c r="H4" s="397"/>
      <c r="I4" s="397"/>
      <c r="J4" s="397"/>
      <c r="K4" s="397"/>
      <c r="L4" s="397"/>
      <c r="M4" s="397"/>
      <c r="N4" s="397"/>
      <c r="O4" s="397"/>
      <c r="P4" s="397"/>
      <c r="Q4" s="397"/>
      <c r="R4" s="398"/>
      <c r="S4" s="119"/>
      <c r="T4" s="119"/>
    </row>
    <row r="5" spans="2:20" ht="5.25" customHeight="1" thickBot="1">
      <c r="B5" s="122"/>
      <c r="E5" s="123"/>
      <c r="F5" s="123"/>
      <c r="G5" s="123"/>
      <c r="H5" s="123"/>
      <c r="I5" s="123"/>
      <c r="J5" s="123"/>
      <c r="K5" s="123"/>
      <c r="L5" s="117"/>
      <c r="M5" s="123"/>
      <c r="N5" s="123"/>
      <c r="O5" s="123"/>
      <c r="P5" s="123"/>
      <c r="Q5" s="123"/>
      <c r="R5" s="123"/>
      <c r="S5" s="124"/>
      <c r="T5" s="124"/>
    </row>
    <row r="6" spans="2:20" ht="6" customHeight="1" thickBot="1" thickTop="1">
      <c r="B6" s="125"/>
      <c r="C6" s="126"/>
      <c r="D6" s="126"/>
      <c r="E6" s="126"/>
      <c r="F6" s="127"/>
      <c r="G6" s="126"/>
      <c r="H6" s="126"/>
      <c r="I6" s="126"/>
      <c r="J6" s="126"/>
      <c r="K6" s="126"/>
      <c r="L6" s="126"/>
      <c r="M6" s="126"/>
      <c r="N6" s="126"/>
      <c r="O6" s="126"/>
      <c r="P6" s="126"/>
      <c r="Q6" s="128"/>
      <c r="R6" s="129"/>
      <c r="S6" s="130"/>
      <c r="T6" s="131"/>
    </row>
    <row r="7" spans="2:37" s="139" customFormat="1" ht="30" customHeight="1">
      <c r="B7" s="132"/>
      <c r="C7" s="133"/>
      <c r="D7" s="134"/>
      <c r="E7" s="135"/>
      <c r="F7" s="135"/>
      <c r="G7" s="135"/>
      <c r="H7" s="135"/>
      <c r="I7" s="135"/>
      <c r="J7" s="135"/>
      <c r="K7" s="135"/>
      <c r="L7" s="135"/>
      <c r="M7" s="133"/>
      <c r="N7" s="136"/>
      <c r="O7" s="133"/>
      <c r="P7" s="136"/>
      <c r="Q7" s="384" t="s">
        <v>4543</v>
      </c>
      <c r="R7" s="137"/>
      <c r="S7" s="130"/>
      <c r="T7" s="130"/>
      <c r="U7" s="138"/>
      <c r="V7" s="138"/>
      <c r="W7" s="138"/>
      <c r="X7" s="138"/>
      <c r="Y7" s="138"/>
      <c r="Z7" s="138"/>
      <c r="AA7" s="138"/>
      <c r="AB7" s="138"/>
      <c r="AC7" s="138"/>
      <c r="AD7" s="138"/>
      <c r="AE7" s="138"/>
      <c r="AF7" s="138"/>
      <c r="AG7" s="138"/>
      <c r="AH7" s="138"/>
      <c r="AI7" s="138"/>
      <c r="AJ7" s="138"/>
      <c r="AK7" s="138"/>
    </row>
    <row r="8" spans="2:37" s="139" customFormat="1" ht="4.5" customHeight="1">
      <c r="B8" s="132"/>
      <c r="C8" s="133"/>
      <c r="D8" s="134"/>
      <c r="E8" s="135"/>
      <c r="F8" s="135"/>
      <c r="G8" s="135"/>
      <c r="H8" s="135"/>
      <c r="I8" s="135"/>
      <c r="J8" s="135"/>
      <c r="K8" s="135"/>
      <c r="L8" s="135"/>
      <c r="M8" s="133"/>
      <c r="N8" s="136"/>
      <c r="O8" s="133"/>
      <c r="P8" s="136"/>
      <c r="Q8" s="385"/>
      <c r="R8" s="137"/>
      <c r="S8" s="130"/>
      <c r="T8" s="130"/>
      <c r="U8" s="138"/>
      <c r="V8" s="138"/>
      <c r="W8" s="138"/>
      <c r="X8" s="140"/>
      <c r="Y8" s="138"/>
      <c r="Z8" s="138"/>
      <c r="AA8" s="138"/>
      <c r="AB8" s="138"/>
      <c r="AC8" s="138"/>
      <c r="AD8" s="138"/>
      <c r="AE8" s="138"/>
      <c r="AF8" s="138"/>
      <c r="AG8" s="138"/>
      <c r="AH8" s="138"/>
      <c r="AI8" s="138"/>
      <c r="AJ8" s="138"/>
      <c r="AK8" s="138"/>
    </row>
    <row r="9" spans="2:25" ht="16.5" customHeight="1" thickBot="1">
      <c r="B9" s="141"/>
      <c r="C9" s="107"/>
      <c r="D9" s="107"/>
      <c r="E9" s="107"/>
      <c r="F9" s="110"/>
      <c r="G9" s="107"/>
      <c r="H9" s="108"/>
      <c r="I9" s="108"/>
      <c r="J9" s="108"/>
      <c r="K9" s="108"/>
      <c r="L9" s="108"/>
      <c r="M9" s="108"/>
      <c r="N9" s="108"/>
      <c r="O9" s="108"/>
      <c r="P9" s="142"/>
      <c r="Q9" s="386"/>
      <c r="R9" s="143"/>
      <c r="S9" s="144"/>
      <c r="T9" s="144"/>
      <c r="X9" s="144"/>
      <c r="Y9" s="144"/>
    </row>
    <row r="10" spans="2:24" ht="4.5" customHeight="1">
      <c r="B10" s="141"/>
      <c r="C10" s="107"/>
      <c r="D10" s="107"/>
      <c r="E10" s="107"/>
      <c r="F10" s="110"/>
      <c r="G10" s="107"/>
      <c r="H10" s="108"/>
      <c r="I10" s="108"/>
      <c r="J10" s="108"/>
      <c r="K10" s="108"/>
      <c r="L10" s="108"/>
      <c r="M10" s="108"/>
      <c r="N10" s="108"/>
      <c r="O10" s="108"/>
      <c r="P10" s="108"/>
      <c r="Q10" s="107"/>
      <c r="R10" s="145"/>
      <c r="S10" s="109"/>
      <c r="T10" s="109"/>
      <c r="X10" s="110"/>
    </row>
    <row r="11" spans="2:37" s="139" customFormat="1" ht="19.5" customHeight="1">
      <c r="B11" s="394" t="s">
        <v>4580</v>
      </c>
      <c r="C11" s="395"/>
      <c r="D11" s="395"/>
      <c r="E11" s="395"/>
      <c r="F11" s="395"/>
      <c r="G11" s="395"/>
      <c r="H11" s="395"/>
      <c r="I11" s="146"/>
      <c r="J11" s="133"/>
      <c r="K11" s="133"/>
      <c r="L11" s="383" t="s">
        <v>4542</v>
      </c>
      <c r="M11" s="383"/>
      <c r="N11" s="383"/>
      <c r="O11" s="383"/>
      <c r="P11" s="383"/>
      <c r="Q11" s="383"/>
      <c r="R11" s="147"/>
      <c r="S11" s="110"/>
      <c r="T11" s="110"/>
      <c r="U11" s="138"/>
      <c r="V11" s="138"/>
      <c r="W11" s="121"/>
      <c r="X11" s="138"/>
      <c r="Y11" s="138"/>
      <c r="Z11" s="119"/>
      <c r="AA11" s="138"/>
      <c r="AB11" s="138"/>
      <c r="AC11" s="138"/>
      <c r="AD11" s="138"/>
      <c r="AE11" s="138"/>
      <c r="AF11" s="138"/>
      <c r="AG11" s="138"/>
      <c r="AH11" s="138"/>
      <c r="AI11" s="138"/>
      <c r="AJ11" s="138"/>
      <c r="AK11" s="138"/>
    </row>
    <row r="12" spans="2:24" ht="12.75" customHeight="1">
      <c r="B12" s="141"/>
      <c r="C12" s="107"/>
      <c r="D12" s="146"/>
      <c r="E12" s="146"/>
      <c r="F12" s="146"/>
      <c r="G12" s="133"/>
      <c r="H12" s="146"/>
      <c r="I12" s="148"/>
      <c r="J12" s="148"/>
      <c r="K12" s="148"/>
      <c r="L12" s="383"/>
      <c r="M12" s="383"/>
      <c r="N12" s="383"/>
      <c r="O12" s="383"/>
      <c r="P12" s="383"/>
      <c r="Q12" s="383"/>
      <c r="R12" s="149"/>
      <c r="S12" s="150"/>
      <c r="T12" s="150"/>
      <c r="X12" s="110"/>
    </row>
    <row r="13" spans="2:24" ht="12.75" customHeight="1">
      <c r="B13" s="141"/>
      <c r="C13" s="107"/>
      <c r="D13" s="107"/>
      <c r="E13" s="151"/>
      <c r="F13" s="110"/>
      <c r="G13" s="151"/>
      <c r="H13" s="146"/>
      <c r="I13" s="151"/>
      <c r="J13" s="151"/>
      <c r="K13" s="151"/>
      <c r="L13" s="151"/>
      <c r="M13" s="151"/>
      <c r="N13" s="107"/>
      <c r="O13" s="107"/>
      <c r="P13" s="107"/>
      <c r="Q13" s="152"/>
      <c r="R13" s="153"/>
      <c r="S13" s="110"/>
      <c r="T13" s="110"/>
      <c r="X13" s="110"/>
    </row>
    <row r="14" spans="2:24" ht="12.75" customHeight="1">
      <c r="B14" s="154"/>
      <c r="C14" s="107"/>
      <c r="D14" s="107"/>
      <c r="E14" s="107"/>
      <c r="F14" s="110"/>
      <c r="G14" s="107"/>
      <c r="H14" s="388" t="str">
        <f>'Tabela PW'!BF1</f>
        <v>Minimalna
produkcja</v>
      </c>
      <c r="I14" s="108"/>
      <c r="J14" s="393">
        <f>'Tabela PW'!BF2</f>
        <v>1727287</v>
      </c>
      <c r="K14" s="108"/>
      <c r="L14" s="108"/>
      <c r="M14" s="108"/>
      <c r="N14" s="108"/>
      <c r="O14" s="108"/>
      <c r="P14" s="107"/>
      <c r="Q14" s="152"/>
      <c r="R14" s="153"/>
      <c r="S14" s="110"/>
      <c r="T14" s="110"/>
      <c r="U14" s="155"/>
      <c r="V14" s="155"/>
      <c r="X14" s="156"/>
    </row>
    <row r="15" spans="2:22" ht="12.75" customHeight="1">
      <c r="B15" s="154"/>
      <c r="C15" s="107"/>
      <c r="D15" s="107"/>
      <c r="E15" s="107"/>
      <c r="F15" s="107"/>
      <c r="G15" s="107"/>
      <c r="H15" s="388"/>
      <c r="I15" s="157"/>
      <c r="J15" s="393"/>
      <c r="K15" s="108"/>
      <c r="L15" s="108"/>
      <c r="M15" s="107"/>
      <c r="N15" s="107"/>
      <c r="O15" s="107"/>
      <c r="P15" s="107"/>
      <c r="Q15" s="152"/>
      <c r="R15" s="153"/>
      <c r="S15" s="110"/>
      <c r="T15" s="119"/>
      <c r="U15" s="119"/>
      <c r="V15" s="119"/>
    </row>
    <row r="16" spans="2:24" ht="12.75" customHeight="1" thickBot="1">
      <c r="B16" s="154"/>
      <c r="C16" s="107"/>
      <c r="D16" s="107"/>
      <c r="E16" s="107"/>
      <c r="F16" s="107"/>
      <c r="G16" s="107"/>
      <c r="H16" s="389"/>
      <c r="I16" s="152"/>
      <c r="J16" s="158" t="str">
        <f>"wystąpiła w "&amp;'Tabela PW'!BF3&amp;"r."</f>
        <v>wystąpiła w 2010r.</v>
      </c>
      <c r="K16" s="108"/>
      <c r="L16" s="108"/>
      <c r="M16" s="108"/>
      <c r="N16" s="152"/>
      <c r="O16" s="152"/>
      <c r="P16" s="152"/>
      <c r="Q16" s="152"/>
      <c r="R16" s="159"/>
      <c r="S16" s="152"/>
      <c r="T16" s="152"/>
      <c r="U16" s="152"/>
      <c r="V16" s="152"/>
      <c r="X16" s="152"/>
    </row>
    <row r="17" spans="2:24" ht="12.75" customHeight="1">
      <c r="B17" s="154"/>
      <c r="C17" s="107"/>
      <c r="D17" s="122"/>
      <c r="E17" s="122"/>
      <c r="F17" s="152"/>
      <c r="G17" s="152"/>
      <c r="H17" s="387" t="str">
        <f>'Tabela PW'!BG1</f>
        <v>Maksymalna
produkcja</v>
      </c>
      <c r="I17" s="122"/>
      <c r="J17" s="107"/>
      <c r="K17" s="122"/>
      <c r="L17" s="108"/>
      <c r="M17" s="108"/>
      <c r="N17" s="152"/>
      <c r="O17" s="152"/>
      <c r="P17" s="152"/>
      <c r="Q17" s="152"/>
      <c r="R17" s="159"/>
      <c r="S17" s="152"/>
      <c r="T17" s="152"/>
      <c r="U17" s="152"/>
      <c r="V17" s="152"/>
      <c r="W17" s="152"/>
      <c r="X17" s="152"/>
    </row>
    <row r="18" spans="2:24" ht="12.75" customHeight="1">
      <c r="B18" s="154"/>
      <c r="C18" s="107"/>
      <c r="D18" s="122"/>
      <c r="E18" s="122"/>
      <c r="F18" s="110"/>
      <c r="G18" s="152"/>
      <c r="H18" s="388"/>
      <c r="I18" s="160"/>
      <c r="J18" s="204">
        <f>'Tabela PW'!BG2</f>
        <v>3392193</v>
      </c>
      <c r="K18" s="108"/>
      <c r="L18" s="108"/>
      <c r="M18" s="108"/>
      <c r="N18" s="108"/>
      <c r="O18" s="108"/>
      <c r="P18" s="152"/>
      <c r="Q18" s="152"/>
      <c r="R18" s="159"/>
      <c r="S18" s="152"/>
      <c r="T18" s="152"/>
      <c r="U18" s="152"/>
      <c r="V18" s="152"/>
      <c r="W18" s="152"/>
      <c r="X18" s="152"/>
    </row>
    <row r="19" spans="2:38" ht="12.75" customHeight="1" thickBot="1">
      <c r="B19" s="154"/>
      <c r="C19" s="107"/>
      <c r="D19" s="122"/>
      <c r="E19" s="122"/>
      <c r="F19" s="107"/>
      <c r="G19" s="107"/>
      <c r="H19" s="389"/>
      <c r="I19" s="161"/>
      <c r="J19" s="158" t="str">
        <f>"wystąpiła w "&amp;'Tabela PW'!BG3&amp;"r."</f>
        <v>wystąpiła w 2019r.</v>
      </c>
      <c r="K19" s="108"/>
      <c r="L19" s="108"/>
      <c r="M19" s="162"/>
      <c r="N19" s="108"/>
      <c r="O19" s="108"/>
      <c r="P19" s="152"/>
      <c r="Q19" s="152"/>
      <c r="R19" s="159"/>
      <c r="S19" s="152"/>
      <c r="T19" s="152"/>
      <c r="U19" s="152"/>
      <c r="V19" s="152"/>
      <c r="W19" s="152"/>
      <c r="X19" s="152"/>
      <c r="AB19" s="163"/>
      <c r="AD19" s="163"/>
      <c r="AF19" s="163"/>
      <c r="AH19" s="163"/>
      <c r="AJ19" s="163"/>
      <c r="AL19" s="164"/>
    </row>
    <row r="20" spans="2:38" ht="12.75" customHeight="1">
      <c r="B20" s="154"/>
      <c r="C20" s="107"/>
      <c r="D20" s="122"/>
      <c r="E20" s="122"/>
      <c r="F20" s="107"/>
      <c r="G20" s="107"/>
      <c r="H20" s="387" t="str">
        <f>'Tabela PW'!BH1</f>
        <v>Średnia produkcja
w latach 2010 - 2019</v>
      </c>
      <c r="I20" s="107"/>
      <c r="J20" s="390">
        <f>'Tabela PW'!BH2</f>
        <v>2464950.6</v>
      </c>
      <c r="K20" s="108"/>
      <c r="L20" s="108"/>
      <c r="M20" s="108"/>
      <c r="N20" s="108"/>
      <c r="O20" s="108"/>
      <c r="P20" s="152"/>
      <c r="Q20" s="152"/>
      <c r="R20" s="159"/>
      <c r="S20" s="152"/>
      <c r="T20" s="152"/>
      <c r="U20" s="152"/>
      <c r="V20" s="152"/>
      <c r="W20" s="152"/>
      <c r="X20" s="152"/>
      <c r="AB20" s="163"/>
      <c r="AD20" s="163"/>
      <c r="AF20" s="163"/>
      <c r="AH20" s="163"/>
      <c r="AJ20" s="163"/>
      <c r="AL20" s="164"/>
    </row>
    <row r="21" spans="2:38" ht="12.75" customHeight="1">
      <c r="B21" s="154"/>
      <c r="C21" s="107"/>
      <c r="D21" s="122"/>
      <c r="E21" s="122"/>
      <c r="F21" s="107"/>
      <c r="G21" s="107"/>
      <c r="H21" s="388"/>
      <c r="I21" s="161"/>
      <c r="J21" s="391"/>
      <c r="K21" s="108"/>
      <c r="L21" s="108"/>
      <c r="M21" s="108"/>
      <c r="N21" s="108"/>
      <c r="O21" s="108"/>
      <c r="P21" s="152"/>
      <c r="Q21" s="152"/>
      <c r="R21" s="159"/>
      <c r="S21" s="152"/>
      <c r="T21" s="152"/>
      <c r="U21" s="152"/>
      <c r="V21" s="152"/>
      <c r="W21" s="152"/>
      <c r="X21" s="152"/>
      <c r="AB21" s="163"/>
      <c r="AD21" s="163"/>
      <c r="AF21" s="163"/>
      <c r="AH21" s="163"/>
      <c r="AJ21" s="163"/>
      <c r="AL21" s="164"/>
    </row>
    <row r="22" spans="2:37" s="107" customFormat="1" ht="12.75" customHeight="1" thickBot="1">
      <c r="B22" s="154"/>
      <c r="D22" s="122"/>
      <c r="E22" s="122"/>
      <c r="H22" s="389"/>
      <c r="I22" s="161"/>
      <c r="J22" s="392"/>
      <c r="K22" s="108"/>
      <c r="M22" s="165"/>
      <c r="N22" s="108"/>
      <c r="P22" s="108"/>
      <c r="Q22" s="108"/>
      <c r="R22" s="145"/>
      <c r="S22" s="109"/>
      <c r="T22" s="109"/>
      <c r="U22" s="109"/>
      <c r="V22" s="109"/>
      <c r="W22" s="109"/>
      <c r="X22" s="109"/>
      <c r="Y22" s="110"/>
      <c r="Z22" s="110"/>
      <c r="AA22" s="110"/>
      <c r="AB22" s="110"/>
      <c r="AC22" s="110"/>
      <c r="AD22" s="110"/>
      <c r="AE22" s="110"/>
      <c r="AF22" s="331"/>
      <c r="AG22" s="331"/>
      <c r="AH22" s="339"/>
      <c r="AI22" s="339"/>
      <c r="AJ22" s="343"/>
      <c r="AK22" s="343"/>
    </row>
    <row r="23" spans="2:24" ht="12.75" customHeight="1">
      <c r="B23" s="154"/>
      <c r="C23" s="107"/>
      <c r="D23" s="157"/>
      <c r="E23" s="122"/>
      <c r="F23" s="107"/>
      <c r="G23" s="107"/>
      <c r="H23" s="387" t="str">
        <f>'Tabela PW'!BI1</f>
        <v>Dynamika produkcji w 2019
2010 = 100</v>
      </c>
      <c r="I23" s="107"/>
      <c r="J23" s="107"/>
      <c r="K23" s="108"/>
      <c r="L23" s="108"/>
      <c r="M23" s="165"/>
      <c r="N23" s="108"/>
      <c r="O23" s="108"/>
      <c r="P23" s="107"/>
      <c r="Q23" s="152"/>
      <c r="R23" s="153"/>
      <c r="S23" s="110"/>
      <c r="T23" s="110"/>
      <c r="U23" s="109"/>
      <c r="V23" s="110"/>
      <c r="W23" s="110"/>
      <c r="X23" s="152"/>
    </row>
    <row r="24" spans="2:24" ht="12.75" customHeight="1">
      <c r="B24" s="154"/>
      <c r="C24" s="107"/>
      <c r="D24" s="157"/>
      <c r="E24" s="122"/>
      <c r="F24" s="107"/>
      <c r="G24" s="107"/>
      <c r="H24" s="388"/>
      <c r="I24" s="161"/>
      <c r="J24" s="205">
        <f>'Tabela PW'!BI2</f>
        <v>196.3884982634617</v>
      </c>
      <c r="K24" s="108"/>
      <c r="L24" s="108"/>
      <c r="M24" s="166"/>
      <c r="N24" s="108"/>
      <c r="O24" s="167"/>
      <c r="P24" s="107"/>
      <c r="Q24" s="152"/>
      <c r="R24" s="153"/>
      <c r="S24" s="110"/>
      <c r="T24" s="110"/>
      <c r="U24" s="109"/>
      <c r="V24" s="110"/>
      <c r="W24" s="110"/>
      <c r="X24" s="152"/>
    </row>
    <row r="25" spans="2:24" ht="12.75" customHeight="1" thickBot="1">
      <c r="B25" s="154"/>
      <c r="C25" s="107"/>
      <c r="D25" s="107"/>
      <c r="E25" s="136"/>
      <c r="F25" s="136"/>
      <c r="G25" s="136"/>
      <c r="H25" s="389"/>
      <c r="I25" s="164"/>
      <c r="J25" s="168"/>
      <c r="K25" s="108"/>
      <c r="L25" s="108"/>
      <c r="M25" s="136"/>
      <c r="N25" s="108"/>
      <c r="O25" s="136"/>
      <c r="P25" s="136"/>
      <c r="Q25" s="152"/>
      <c r="R25" s="153"/>
      <c r="S25" s="130"/>
      <c r="T25" s="130"/>
      <c r="U25" s="109"/>
      <c r="V25" s="130"/>
      <c r="W25" s="130"/>
      <c r="X25" s="152"/>
    </row>
    <row r="26" spans="2:37" ht="12.75" customHeight="1" thickBot="1">
      <c r="B26" s="169"/>
      <c r="C26" s="170"/>
      <c r="D26" s="171"/>
      <c r="E26" s="171"/>
      <c r="F26" s="171"/>
      <c r="G26" s="171"/>
      <c r="H26" s="171"/>
      <c r="I26" s="171"/>
      <c r="J26" s="171"/>
      <c r="K26" s="171"/>
      <c r="L26" s="171"/>
      <c r="M26" s="171"/>
      <c r="N26" s="171"/>
      <c r="O26" s="171"/>
      <c r="P26" s="171"/>
      <c r="Q26" s="170"/>
      <c r="R26" s="172"/>
      <c r="S26" s="130"/>
      <c r="T26" s="130"/>
      <c r="U26" s="130"/>
      <c r="V26" s="130"/>
      <c r="W26" s="130"/>
      <c r="X26" s="110"/>
      <c r="Y26" s="110"/>
      <c r="AA26" s="110"/>
      <c r="AC26" s="110"/>
      <c r="AE26" s="110"/>
      <c r="AG26" s="331"/>
      <c r="AI26" s="339"/>
      <c r="AK26" s="343"/>
    </row>
    <row r="27" spans="4:23" ht="23.25" customHeight="1" thickBot="1" thickTop="1">
      <c r="D27" s="173"/>
      <c r="E27" s="174"/>
      <c r="F27" s="175" t="s">
        <v>4560</v>
      </c>
      <c r="K27" s="177"/>
      <c r="L27" s="177"/>
      <c r="M27" s="177"/>
      <c r="N27" s="177"/>
      <c r="O27" s="177"/>
      <c r="P27" s="177"/>
      <c r="Q27" s="177"/>
      <c r="R27" s="177"/>
      <c r="S27" s="178"/>
      <c r="T27" s="178"/>
      <c r="U27" s="124"/>
      <c r="V27" s="124"/>
      <c r="W27" s="124"/>
    </row>
    <row r="28" spans="2:37" s="107" customFormat="1" ht="27" customHeight="1" thickBot="1">
      <c r="B28" s="194" t="str">
        <f>"Produkcja wytworzona wybranego działu w "&amp;'Słownik PW'!A26&amp;" r."</f>
        <v>Produkcja wytworzona wybranego działu w 2019 r.</v>
      </c>
      <c r="G28" s="122"/>
      <c r="H28" s="380" t="str">
        <f>INDEX('Słownik PW'!$AN$2:$AN$76,'Słownik PW'!A29,1)</f>
        <v>kilogram chloru</v>
      </c>
      <c r="I28" s="380"/>
      <c r="J28" s="380"/>
      <c r="K28" s="380"/>
      <c r="L28" s="380"/>
      <c r="N28" s="396" t="s">
        <v>4576</v>
      </c>
      <c r="O28" s="397"/>
      <c r="P28" s="397"/>
      <c r="Q28" s="397"/>
      <c r="R28" s="398"/>
      <c r="S28" s="180"/>
      <c r="T28" s="180"/>
      <c r="U28" s="180"/>
      <c r="V28" s="180"/>
      <c r="W28" s="180"/>
      <c r="X28" s="180"/>
      <c r="Y28" s="180"/>
      <c r="Z28" s="180"/>
      <c r="AA28" s="180"/>
      <c r="AB28" s="180"/>
      <c r="AC28" s="180"/>
      <c r="AD28" s="180"/>
      <c r="AE28" s="180"/>
      <c r="AF28" s="332"/>
      <c r="AG28" s="332"/>
      <c r="AH28" s="340"/>
      <c r="AI28" s="340"/>
      <c r="AJ28" s="344"/>
      <c r="AK28" s="344"/>
    </row>
    <row r="29" spans="2:37" s="107" customFormat="1" ht="3" customHeight="1">
      <c r="B29" s="179"/>
      <c r="G29" s="122"/>
      <c r="H29" s="181"/>
      <c r="I29" s="181"/>
      <c r="J29" s="181"/>
      <c r="K29" s="181"/>
      <c r="L29" s="181"/>
      <c r="M29" s="181"/>
      <c r="N29" s="181"/>
      <c r="O29" s="181"/>
      <c r="P29" s="181"/>
      <c r="Q29" s="181"/>
      <c r="R29" s="181"/>
      <c r="S29" s="180"/>
      <c r="T29" s="180"/>
      <c r="U29" s="180"/>
      <c r="V29" s="180"/>
      <c r="W29" s="180"/>
      <c r="X29" s="180"/>
      <c r="Y29" s="180"/>
      <c r="Z29" s="180"/>
      <c r="AA29" s="180"/>
      <c r="AB29" s="180"/>
      <c r="AC29" s="180"/>
      <c r="AD29" s="180"/>
      <c r="AE29" s="180"/>
      <c r="AF29" s="332"/>
      <c r="AG29" s="332"/>
      <c r="AH29" s="340"/>
      <c r="AI29" s="340"/>
      <c r="AJ29" s="344"/>
      <c r="AK29" s="344"/>
    </row>
    <row r="30" spans="2:37" s="196" customFormat="1" ht="37.5" customHeight="1">
      <c r="B30" s="195" t="s">
        <v>21</v>
      </c>
      <c r="D30" s="195" t="str">
        <f>'Słownik PW'!A5</f>
        <v>POZOSTAŁE PRODUKTY GÓRNICTWA I WYDOBYWANIA</v>
      </c>
      <c r="E30" s="197"/>
      <c r="F30" s="198" t="s">
        <v>22</v>
      </c>
      <c r="G30" s="199"/>
      <c r="H30" s="200" t="str">
        <f>CONCATENATE("Ilość produkcji wytworzonej za rok ",'Słownik PW'!A26)</f>
        <v>Ilość produkcji wytworzonej za rok 2019</v>
      </c>
      <c r="I30" s="199"/>
      <c r="J30" s="200" t="str">
        <f>CONCATENATE("Ilość produkcji wytworzonej za poprzedni rok ",'Słownik PW'!A26-1)</f>
        <v>Ilość produkcji wytworzonej za poprzedni rok 2018</v>
      </c>
      <c r="K30" s="201"/>
      <c r="L30" s="200" t="str">
        <f>"Dynamika "&amp;'Słownik PW'!A26&amp;"
  "&amp;'Słownik PW'!A26-1&amp;" = 100"</f>
        <v>Dynamika 2019
  2018 = 100</v>
      </c>
      <c r="M30" s="202"/>
      <c r="N30" s="400" t="s">
        <v>4597</v>
      </c>
      <c r="O30" s="401"/>
      <c r="Q30" s="200" t="s">
        <v>4596</v>
      </c>
      <c r="R30" s="203"/>
      <c r="S30" s="202">
        <f>IF('Słownik PW'!$A$11=FALSE,"",_xlfn.IFERROR(INDEX('Tabela PW'!$AC:$AI,1,1),""))</f>
        <v>2010</v>
      </c>
      <c r="T30" s="206"/>
      <c r="U30" s="202">
        <f>IF('Słownik PW'!$A$11=FALSE,"",_xlfn.IFERROR(INDEX('Tabela PW'!$AC:$AI,1,2),""))</f>
        <v>2011</v>
      </c>
      <c r="V30" s="202"/>
      <c r="W30" s="202">
        <f>IF('Słownik PW'!$A$11=FALSE,"",_xlfn.IFERROR(INDEX('Tabela PW'!$AC:$AI,1,3),""))</f>
        <v>2012</v>
      </c>
      <c r="X30" s="202"/>
      <c r="Y30" s="202">
        <f>IF('Słownik PW'!$A$11=FALSE,"",_xlfn.IFERROR(INDEX('Tabela PW'!$AC:$AI,1,4),""))</f>
        <v>2013</v>
      </c>
      <c r="Z30" s="202"/>
      <c r="AA30" s="202">
        <f>IF('Słownik PW'!$A$11=FALSE,"",_xlfn.IFERROR(INDEX('Tabela PW'!$AC:$AI,1,5),""))</f>
        <v>2014</v>
      </c>
      <c r="AB30" s="201"/>
      <c r="AC30" s="202">
        <f>IF('Słownik PW'!$A$11=FALSE,"",_xlfn.IFERROR(INDEX('Tabela PW'!$AC:$AI,1,6),""))</f>
        <v>2015</v>
      </c>
      <c r="AD30" s="201"/>
      <c r="AE30" s="202">
        <f>IF('Słownik PW'!$A$11=FALSE,"",_xlfn.IFERROR(INDEX('Tabela PW'!$AC:$AI,1,7),""))</f>
        <v>2016</v>
      </c>
      <c r="AF30" s="201"/>
      <c r="AG30" s="202">
        <f>IF('Słownik PW'!$A$11=FALSE,"",_xlfn.IFERROR(INDEX('Tabela PW'!$AC:$AJ,1,8),""))</f>
        <v>2017</v>
      </c>
      <c r="AH30" s="201"/>
      <c r="AI30" s="202">
        <f>IF('Słownik PW'!$A$11=FALSE,"",_xlfn.IFERROR(INDEX('Tabela PW'!$AC:$AK,1,9),""))</f>
        <v>2018</v>
      </c>
      <c r="AJ30" s="201"/>
      <c r="AK30" s="202">
        <f>IF('Słownik PW'!$A$11=FALSE,"",_xlfn.IFERROR(INDEX('Tabela PW'!$AC:$AL,1,10),""))</f>
        <v>2019</v>
      </c>
    </row>
    <row r="31" spans="2:37" s="182" customFormat="1" ht="22.5" customHeight="1">
      <c r="B31" s="184">
        <v>1</v>
      </c>
      <c r="D31" s="184" t="str">
        <f>'Tabela PW'!Z2</f>
        <v>Mineralne środki dla rolnictwa wapniowe i wapniowo-magnezowe (tlenkowe i węglanowe)</v>
      </c>
      <c r="E31" s="183"/>
      <c r="F31" s="186" t="str">
        <f>'Tabela PW'!AA2</f>
        <v>t</v>
      </c>
      <c r="G31" s="184"/>
      <c r="H31" s="188">
        <f>_xlfn.IFERROR(INDEX('Tabela PW'!AC:AL,B31+1,'Słownik PW'!$A$26-2009),"")</f>
        <v>2585122</v>
      </c>
      <c r="I31" s="188"/>
      <c r="J31" s="188">
        <f>IF('Słownik PW'!$A$26=2010,"X",INDEX('Tabela PW'!AC:AL,B31+1,'Słownik PW'!$A$26-2010))</f>
        <v>2567709</v>
      </c>
      <c r="K31" s="187"/>
      <c r="L31" s="189">
        <f>_xlfn.IFERROR(IF('Słownik PW'!$A$26=2010,"X",H31/J31*100),"")</f>
        <v>100.67815317078377</v>
      </c>
      <c r="M31" s="187"/>
      <c r="N31" s="399"/>
      <c r="O31" s="399"/>
      <c r="P31" s="187"/>
      <c r="Q31" s="189">
        <f>_xlfn.IFERROR(INDEX('Tabela PW'!AP:AP,B31+1,1),"")</f>
        <v>153.70293627128925</v>
      </c>
      <c r="R31" s="187"/>
      <c r="S31" s="188">
        <f>IF('Słownik PW'!$A$11=FALSE,"",_xlfn.IFERROR(INDEX('Tabela PW'!$AC:$AI,B31+1,1),""))</f>
        <v>1681895</v>
      </c>
      <c r="T31" s="190"/>
      <c r="U31" s="188">
        <f>IF('Słownik PW'!$A$11=FALSE,"",_xlfn.IFERROR(INDEX('Tabela PW'!$AC:$AI,B31+1,2),""))</f>
        <v>2140107</v>
      </c>
      <c r="V31" s="188"/>
      <c r="W31" s="188">
        <f>IF('Słownik PW'!$A$11=FALSE,"",_xlfn.IFERROR(INDEX('Tabela PW'!$AC:$AI,B31+1,3),""))</f>
        <v>1965704</v>
      </c>
      <c r="X31" s="191"/>
      <c r="Y31" s="188">
        <f>IF('Słownik PW'!$A$11=FALSE,"",_xlfn.IFERROR(INDEX('Tabela PW'!$AC:$AI,B31+1,4),""))</f>
        <v>2147260</v>
      </c>
      <c r="Z31" s="192"/>
      <c r="AA31" s="188">
        <f>IF('Słownik PW'!$A$11=FALSE,"",_xlfn.IFERROR(INDEX('Tabela PW'!$AC:$AI,B31+1,5),""))</f>
        <v>2242172</v>
      </c>
      <c r="AB31" s="191"/>
      <c r="AC31" s="188">
        <f>IF('Słownik PW'!$A$11=FALSE,"",_xlfn.IFERROR(INDEX('Tabela PW'!$AC:$AI,B31+1,6),""))</f>
        <v>2390066</v>
      </c>
      <c r="AD31" s="191"/>
      <c r="AE31" s="188">
        <f>IF('Słownik PW'!$A$11=FALSE,"",_xlfn.IFERROR(INDEX('Tabela PW'!$AC:$AI,B31+1,7),""))</f>
        <v>2200343</v>
      </c>
      <c r="AF31" s="191"/>
      <c r="AG31" s="188">
        <f>IF('Słownik PW'!$A$11=FALSE,"",_xlfn.IFERROR(INDEX('Tabela PW'!$AC:$AJ,B31+1,8),""))</f>
        <v>2449293</v>
      </c>
      <c r="AH31" s="191"/>
      <c r="AI31" s="188">
        <f>IF('Słownik PW'!$A$11=FALSE,"",_xlfn.IFERROR(INDEX('Tabela PW'!$AC:$AK,B31+1,9),""))</f>
        <v>2567709</v>
      </c>
      <c r="AJ31" s="191"/>
      <c r="AK31" s="188">
        <f>IF('Słownik PW'!$A$11=FALSE,"",_xlfn.IFERROR(INDEX('Tabela PW'!$AC:$AL,B31+1,10),""))</f>
        <v>2585122</v>
      </c>
    </row>
    <row r="32" spans="2:37" s="182" customFormat="1" ht="22.5" customHeight="1">
      <c r="B32" s="184">
        <f aca="true" t="shared" si="0" ref="B32:B63">IF(D32="","",B31+1)</f>
        <v>2</v>
      </c>
      <c r="D32" s="184" t="str">
        <f>_xlfn.IFERROR('Tabela PW'!Z3,"")</f>
        <v>Kwarcyt</v>
      </c>
      <c r="E32" s="183"/>
      <c r="F32" s="186" t="str">
        <f>_xlfn.IFERROR('Tabela PW'!AA3,"")</f>
        <v>t</v>
      </c>
      <c r="G32" s="184"/>
      <c r="H32" s="188">
        <f>_xlfn.IFERROR(INDEX('Tabela PW'!AC:AL,B32+1,'Słownik PW'!$A$26-2009),"")</f>
        <v>93916</v>
      </c>
      <c r="I32" s="188"/>
      <c r="J32" s="188">
        <f>_xlfn.IFERROR(IF('Słownik PW'!$A$26=2010,"",INDEX('Tabela PW'!AC:AL,B32+1,'Słownik PW'!$A$26-2010)),"")</f>
        <v>137794</v>
      </c>
      <c r="K32" s="187"/>
      <c r="L32" s="189">
        <f>_xlfn.IFERROR(IF('Słownik PW'!$A$26=2010,"",H32/J32*100),"")</f>
        <v>68.15681379450484</v>
      </c>
      <c r="M32" s="187"/>
      <c r="N32" s="399"/>
      <c r="O32" s="399"/>
      <c r="P32" s="187"/>
      <c r="Q32" s="189">
        <f>_xlfn.IFERROR(INDEX('Tabela PW'!AP:AP,B32+1,1),"")</f>
        <v>274.9619393371589</v>
      </c>
      <c r="R32" s="187"/>
      <c r="S32" s="188">
        <f>IF('Słownik PW'!$A$11=FALSE,"",_xlfn.IFERROR(INDEX('Tabela PW'!$AC:$AI,B32+1,1),""))</f>
        <v>34156</v>
      </c>
      <c r="T32" s="188"/>
      <c r="U32" s="188">
        <f>IF('Słownik PW'!$A$11=FALSE,"",_xlfn.IFERROR(INDEX('Tabela PW'!$AC:$AI,B32+1,2),""))</f>
        <v>46475</v>
      </c>
      <c r="V32" s="188"/>
      <c r="W32" s="188">
        <f>IF('Słownik PW'!$A$11=FALSE,"",_xlfn.IFERROR(INDEX('Tabela PW'!$AC:$AI,B32+1,3),""))</f>
        <v>53206</v>
      </c>
      <c r="X32" s="188"/>
      <c r="Y32" s="188">
        <f>IF('Słownik PW'!$A$11=FALSE,"",_xlfn.IFERROR(INDEX('Tabela PW'!$AC:$AI,B32+1,4),""))</f>
        <v>88314</v>
      </c>
      <c r="Z32" s="193"/>
      <c r="AA32" s="188">
        <f>IF('Słownik PW'!$A$11=FALSE,"",_xlfn.IFERROR(INDEX('Tabela PW'!$AC:$AI,B32+1,5),""))</f>
        <v>82877</v>
      </c>
      <c r="AB32" s="191"/>
      <c r="AC32" s="188">
        <f>IF('Słownik PW'!$A$11=FALSE,"",_xlfn.IFERROR(INDEX('Tabela PW'!$AC:$AI,B32+1,6),""))</f>
        <v>54930</v>
      </c>
      <c r="AD32" s="191"/>
      <c r="AE32" s="188">
        <f>IF('Słownik PW'!$A$11=FALSE,"",_xlfn.IFERROR(INDEX('Tabela PW'!$AC:$AI,B32+1,7),""))</f>
        <v>64521</v>
      </c>
      <c r="AF32" s="191"/>
      <c r="AG32" s="188">
        <f>IF('Słownik PW'!$A$11=FALSE,"",_xlfn.IFERROR(INDEX('Tabela PW'!$AC:$AJ,B32+1,8),""))</f>
        <v>77458</v>
      </c>
      <c r="AH32" s="191"/>
      <c r="AI32" s="188">
        <f>IF('Słownik PW'!$A$11=FALSE,"",_xlfn.IFERROR(INDEX('Tabela PW'!$AC:$AK,B32+1,9),""))</f>
        <v>137794</v>
      </c>
      <c r="AJ32" s="191"/>
      <c r="AK32" s="188">
        <f>IF('Słownik PW'!$A$11=FALSE,"",_xlfn.IFERROR(INDEX('Tabela PW'!$AC:$AL,B32+1,10),""))</f>
        <v>93916</v>
      </c>
    </row>
    <row r="33" spans="2:37" s="182" customFormat="1" ht="22.5" customHeight="1">
      <c r="B33" s="184">
        <f t="shared" si="0"/>
        <v>3</v>
      </c>
      <c r="D33" s="184" t="str">
        <f>_xlfn.IFERROR('Tabela PW'!Z4,"")</f>
        <v>Gips i anhydryt</v>
      </c>
      <c r="E33" s="183"/>
      <c r="F33" s="186" t="str">
        <f>_xlfn.IFERROR('Tabela PW'!AA4,"")</f>
        <v>t</v>
      </c>
      <c r="G33" s="184"/>
      <c r="H33" s="188">
        <f>_xlfn.IFERROR(INDEX('Tabela PW'!AC:AL,B33+1,'Słownik PW'!$A$26-2009),"")</f>
        <v>1150495</v>
      </c>
      <c r="I33" s="188"/>
      <c r="J33" s="188">
        <f>_xlfn.IFERROR(IF('Słownik PW'!$A$26=2010,"",INDEX('Tabela PW'!AC:AL,B33+1,'Słownik PW'!$A$26-2010)),"")</f>
        <v>1120344</v>
      </c>
      <c r="K33" s="187"/>
      <c r="L33" s="189">
        <f>_xlfn.IFERROR(IF('Słownik PW'!$A$26=2010,"",H33/J33*100),"")</f>
        <v>102.69122698028464</v>
      </c>
      <c r="M33" s="187"/>
      <c r="N33" s="399"/>
      <c r="O33" s="399"/>
      <c r="P33" s="187"/>
      <c r="Q33" s="189">
        <f>_xlfn.IFERROR(INDEX('Tabela PW'!AP:AP,B33+1,1),"")</f>
        <v>92.69058451315277</v>
      </c>
      <c r="R33" s="187"/>
      <c r="S33" s="188">
        <f>IF('Słownik PW'!$A$11=FALSE,"",_xlfn.IFERROR(INDEX('Tabela PW'!$AC:$AI,B33+1,1),""))</f>
        <v>1241221</v>
      </c>
      <c r="T33" s="188"/>
      <c r="U33" s="188">
        <f>IF('Słownik PW'!$A$11=FALSE,"",_xlfn.IFERROR(INDEX('Tabela PW'!$AC:$AI,B33+1,2),""))</f>
        <v>1418271</v>
      </c>
      <c r="V33" s="188"/>
      <c r="W33" s="188">
        <f>IF('Słownik PW'!$A$11=FALSE,"",_xlfn.IFERROR(INDEX('Tabela PW'!$AC:$AI,B33+1,3),""))</f>
        <v>1395403</v>
      </c>
      <c r="X33" s="188"/>
      <c r="Y33" s="188">
        <f>IF('Słownik PW'!$A$11=FALSE,"",_xlfn.IFERROR(INDEX('Tabela PW'!$AC:$AI,B33+1,4),""))</f>
        <v>1188969</v>
      </c>
      <c r="Z33" s="193"/>
      <c r="AA33" s="188">
        <f>IF('Słownik PW'!$A$11=FALSE,"",_xlfn.IFERROR(INDEX('Tabela PW'!$AC:$AI,B33+1,5),""))</f>
        <v>1151150</v>
      </c>
      <c r="AB33" s="191"/>
      <c r="AC33" s="188">
        <f>IF('Słownik PW'!$A$11=FALSE,"",_xlfn.IFERROR(INDEX('Tabela PW'!$AC:$AI,B33+1,6),""))</f>
        <v>1099081</v>
      </c>
      <c r="AD33" s="191"/>
      <c r="AE33" s="188">
        <f>IF('Słownik PW'!$A$11=FALSE,"",_xlfn.IFERROR(INDEX('Tabela PW'!$AC:$AI,B33+1,7),""))</f>
        <v>1118484</v>
      </c>
      <c r="AF33" s="191"/>
      <c r="AG33" s="188">
        <f>IF('Słownik PW'!$A$11=FALSE,"",_xlfn.IFERROR(INDEX('Tabela PW'!$AC:$AJ,B33+1,8),""))</f>
        <v>1182379</v>
      </c>
      <c r="AH33" s="191"/>
      <c r="AI33" s="188">
        <f>IF('Słownik PW'!$A$11=FALSE,"",_xlfn.IFERROR(INDEX('Tabela PW'!$AC:$AK,B33+1,9),""))</f>
        <v>1120344</v>
      </c>
      <c r="AJ33" s="191"/>
      <c r="AK33" s="188">
        <f>IF('Słownik PW'!$A$11=FALSE,"",_xlfn.IFERROR(INDEX('Tabela PW'!$AC:$AL,B33+1,10),""))</f>
        <v>1150495</v>
      </c>
    </row>
    <row r="34" spans="2:37" s="182" customFormat="1" ht="22.5" customHeight="1">
      <c r="B34" s="184">
        <f t="shared" si="0"/>
        <v>4</v>
      </c>
      <c r="D34" s="184" t="str">
        <f>_xlfn.IFERROR('Tabela PW'!Z5,"")</f>
        <v>Topnik wapniowy, wapień i pozostałe kamienie wapienne w rodzaju stosowanych do produkcji wapna lub cementu, z wyłączeniem agregatów tłucznia wapiennego lub kamieni wapiennych wymiarowych</v>
      </c>
      <c r="E34" s="183"/>
      <c r="F34" s="186" t="str">
        <f>_xlfn.IFERROR('Tabela PW'!AA5,"")</f>
        <v>t</v>
      </c>
      <c r="G34" s="184"/>
      <c r="H34" s="188">
        <f>_xlfn.IFERROR(INDEX('Tabela PW'!AC:AL,B34+1,'Słownik PW'!$A$26-2009),"")</f>
        <v>36746832</v>
      </c>
      <c r="I34" s="188"/>
      <c r="J34" s="188">
        <f>_xlfn.IFERROR(IF('Słownik PW'!$A$26=2010,"",INDEX('Tabela PW'!AC:AL,B34+1,'Słownik PW'!$A$26-2010)),"")</f>
        <v>36283528</v>
      </c>
      <c r="K34" s="187"/>
      <c r="L34" s="189">
        <f>_xlfn.IFERROR(IF('Słownik PW'!$A$26=2010,"",H34/J34*100),"")</f>
        <v>101.27689898292141</v>
      </c>
      <c r="M34" s="187"/>
      <c r="N34" s="399"/>
      <c r="O34" s="399"/>
      <c r="P34" s="187"/>
      <c r="Q34" s="189">
        <f>_xlfn.IFERROR(INDEX('Tabela PW'!AP:AP,B34+1,1),"")</f>
        <v>110.56675416686048</v>
      </c>
      <c r="R34" s="187"/>
      <c r="S34" s="188">
        <f>IF('Słownik PW'!$A$11=FALSE,"",_xlfn.IFERROR(INDEX('Tabela PW'!$AC:$AI,B34+1,1),""))</f>
        <v>33234974</v>
      </c>
      <c r="T34" s="188"/>
      <c r="U34" s="188">
        <f>IF('Słownik PW'!$A$11=FALSE,"",_xlfn.IFERROR(INDEX('Tabela PW'!$AC:$AI,B34+1,2),""))</f>
        <v>40977418</v>
      </c>
      <c r="V34" s="188"/>
      <c r="W34" s="188">
        <f>IF('Słownik PW'!$A$11=FALSE,"",_xlfn.IFERROR(INDEX('Tabela PW'!$AC:$AI,B34+1,3),""))</f>
        <v>38210748</v>
      </c>
      <c r="X34" s="188"/>
      <c r="Y34" s="188">
        <f>IF('Słownik PW'!$A$11=FALSE,"",_xlfn.IFERROR(INDEX('Tabela PW'!$AC:$AI,B34+1,4),""))</f>
        <v>35353024</v>
      </c>
      <c r="Z34" s="193"/>
      <c r="AA34" s="188">
        <f>IF('Słownik PW'!$A$11=FALSE,"",_xlfn.IFERROR(INDEX('Tabela PW'!$AC:$AI,B34+1,5),""))</f>
        <v>35151507</v>
      </c>
      <c r="AB34" s="191"/>
      <c r="AC34" s="188">
        <f>IF('Słownik PW'!$A$11=FALSE,"",_xlfn.IFERROR(INDEX('Tabela PW'!$AC:$AI,B34+1,6),""))</f>
        <v>36522261</v>
      </c>
      <c r="AD34" s="191"/>
      <c r="AE34" s="188">
        <f>IF('Słownik PW'!$A$11=FALSE,"",_xlfn.IFERROR(INDEX('Tabela PW'!$AC:$AI,B34+1,7),""))</f>
        <v>35187594</v>
      </c>
      <c r="AF34" s="191"/>
      <c r="AG34" s="188">
        <f>IF('Słownik PW'!$A$11=FALSE,"",_xlfn.IFERROR(INDEX('Tabela PW'!$AC:$AJ,B34+1,8),""))</f>
        <v>35746930</v>
      </c>
      <c r="AH34" s="191"/>
      <c r="AI34" s="188">
        <f>IF('Słownik PW'!$A$11=FALSE,"",_xlfn.IFERROR(INDEX('Tabela PW'!$AC:$AK,B34+1,9),""))</f>
        <v>36283528</v>
      </c>
      <c r="AJ34" s="191"/>
      <c r="AK34" s="188">
        <f>IF('Słownik PW'!$A$11=FALSE,"",_xlfn.IFERROR(INDEX('Tabela PW'!$AC:$AL,B34+1,10),""))</f>
        <v>36746832</v>
      </c>
    </row>
    <row r="35" spans="2:37" s="182" customFormat="1" ht="22.5" customHeight="1">
      <c r="B35" s="184">
        <f t="shared" si="0"/>
        <v>5</v>
      </c>
      <c r="D35" s="184" t="str">
        <f>_xlfn.IFERROR('Tabela PW'!Z6,"")</f>
        <v>Kreda (łącznie z nawozową)</v>
      </c>
      <c r="E35" s="183"/>
      <c r="F35" s="186" t="str">
        <f>_xlfn.IFERROR('Tabela PW'!AA6,"")</f>
        <v>t</v>
      </c>
      <c r="G35" s="184"/>
      <c r="H35" s="188">
        <f>_xlfn.IFERROR(INDEX('Tabela PW'!AC:AL,B35+1,'Słownik PW'!$A$26-2009),"")</f>
        <v>3961272</v>
      </c>
      <c r="I35" s="188"/>
      <c r="J35" s="188">
        <f>_xlfn.IFERROR(IF('Słownik PW'!$A$26=2010,"",INDEX('Tabela PW'!AC:AL,B35+1,'Słownik PW'!$A$26-2010)),"")</f>
        <v>3604812</v>
      </c>
      <c r="K35" s="187"/>
      <c r="L35" s="189">
        <f>_xlfn.IFERROR(IF('Słownik PW'!$A$26=2010,"",H35/J35*100),"")</f>
        <v>109.88844910636118</v>
      </c>
      <c r="M35" s="187"/>
      <c r="N35" s="399"/>
      <c r="O35" s="399"/>
      <c r="P35" s="187"/>
      <c r="Q35" s="189">
        <f>_xlfn.IFERROR(INDEX('Tabela PW'!AP:AP,B35+1,1),"")</f>
        <v>125.95211159589223</v>
      </c>
      <c r="R35" s="187"/>
      <c r="S35" s="188">
        <f>IF('Słownik PW'!$A$11=FALSE,"",_xlfn.IFERROR(INDEX('Tabela PW'!$AC:$AI,B35+1,1),""))</f>
        <v>3145062</v>
      </c>
      <c r="T35" s="188"/>
      <c r="U35" s="188">
        <f>IF('Słownik PW'!$A$11=FALSE,"",_xlfn.IFERROR(INDEX('Tabela PW'!$AC:$AI,B35+1,2),""))</f>
        <v>3558721</v>
      </c>
      <c r="V35" s="188"/>
      <c r="W35" s="188">
        <f>IF('Słownik PW'!$A$11=FALSE,"",_xlfn.IFERROR(INDEX('Tabela PW'!$AC:$AI,B35+1,3),""))</f>
        <v>3012268</v>
      </c>
      <c r="X35" s="188"/>
      <c r="Y35" s="188">
        <f>IF('Słownik PW'!$A$11=FALSE,"",_xlfn.IFERROR(INDEX('Tabela PW'!$AC:$AI,B35+1,4),""))</f>
        <v>2848666</v>
      </c>
      <c r="Z35" s="193"/>
      <c r="AA35" s="188">
        <f>IF('Słownik PW'!$A$11=FALSE,"",_xlfn.IFERROR(INDEX('Tabela PW'!$AC:$AI,B35+1,5),""))</f>
        <v>3101367</v>
      </c>
      <c r="AB35" s="191"/>
      <c r="AC35" s="188">
        <f>IF('Słownik PW'!$A$11=FALSE,"",_xlfn.IFERROR(INDEX('Tabela PW'!$AC:$AI,B35+1,6),""))</f>
        <v>3039208</v>
      </c>
      <c r="AD35" s="191"/>
      <c r="AE35" s="188">
        <f>IF('Słownik PW'!$A$11=FALSE,"",_xlfn.IFERROR(INDEX('Tabela PW'!$AC:$AI,B35+1,7),""))</f>
        <v>3136485</v>
      </c>
      <c r="AF35" s="191"/>
      <c r="AG35" s="188">
        <f>IF('Słownik PW'!$A$11=FALSE,"",_xlfn.IFERROR(INDEX('Tabela PW'!$AC:$AJ,B35+1,8),""))</f>
        <v>3472950</v>
      </c>
      <c r="AH35" s="191"/>
      <c r="AI35" s="188">
        <f>IF('Słownik PW'!$A$11=FALSE,"",_xlfn.IFERROR(INDEX('Tabela PW'!$AC:$AK,B35+1,9),""))</f>
        <v>3604812</v>
      </c>
      <c r="AJ35" s="191"/>
      <c r="AK35" s="188">
        <f>IF('Słownik PW'!$A$11=FALSE,"",_xlfn.IFERROR(INDEX('Tabela PW'!$AC:$AL,B35+1,10),""))</f>
        <v>3961272</v>
      </c>
    </row>
    <row r="36" spans="2:37" s="182" customFormat="1" ht="22.5" customHeight="1">
      <c r="B36" s="184">
        <f t="shared" si="0"/>
        <v>6</v>
      </c>
      <c r="D36" s="184" t="str">
        <f>_xlfn.IFERROR('Tabela PW'!Z7,"")</f>
        <v>Kreda mielona, nawozowa</v>
      </c>
      <c r="E36" s="183"/>
      <c r="F36" s="186" t="str">
        <f>_xlfn.IFERROR('Tabela PW'!AA7,"")</f>
        <v>t</v>
      </c>
      <c r="G36" s="184"/>
      <c r="H36" s="188">
        <f>_xlfn.IFERROR(INDEX('Tabela PW'!AC:AL,B36+1,'Słownik PW'!$A$26-2009),"")</f>
        <v>814673</v>
      </c>
      <c r="I36" s="188"/>
      <c r="J36" s="188">
        <f>_xlfn.IFERROR(IF('Słownik PW'!$A$26=2010,"",INDEX('Tabela PW'!AC:AL,B36+1,'Słownik PW'!$A$26-2010)),"")</f>
        <v>700794</v>
      </c>
      <c r="K36" s="187"/>
      <c r="L36" s="189">
        <f>_xlfn.IFERROR(IF('Słownik PW'!$A$26=2010,"",H36/J36*100),"")</f>
        <v>116.24999643261786</v>
      </c>
      <c r="M36" s="187"/>
      <c r="N36" s="399"/>
      <c r="O36" s="399"/>
      <c r="P36" s="187"/>
      <c r="Q36" s="189">
        <f>_xlfn.IFERROR(INDEX('Tabela PW'!AP:AP,B36+1,1),"")</f>
        <v>347.57453453248456</v>
      </c>
      <c r="R36" s="187"/>
      <c r="S36" s="188">
        <f>IF('Słownik PW'!$A$11=FALSE,"",_xlfn.IFERROR(INDEX('Tabela PW'!$AC:$AI,B36+1,1),""))</f>
        <v>234388</v>
      </c>
      <c r="T36" s="188"/>
      <c r="U36" s="188">
        <f>IF('Słownik PW'!$A$11=FALSE,"",_xlfn.IFERROR(INDEX('Tabela PW'!$AC:$AI,B36+1,2),""))</f>
        <v>320944</v>
      </c>
      <c r="V36" s="188"/>
      <c r="W36" s="188">
        <f>IF('Słownik PW'!$A$11=FALSE,"",_xlfn.IFERROR(INDEX('Tabela PW'!$AC:$AI,B36+1,3),""))</f>
        <v>381960</v>
      </c>
      <c r="X36" s="188"/>
      <c r="Y36" s="188">
        <f>IF('Słownik PW'!$A$11=FALSE,"",_xlfn.IFERROR(INDEX('Tabela PW'!$AC:$AI,B36+1,4),""))</f>
        <v>387584</v>
      </c>
      <c r="Z36" s="193"/>
      <c r="AA36" s="188">
        <f>IF('Słownik PW'!$A$11=FALSE,"",_xlfn.IFERROR(INDEX('Tabela PW'!$AC:$AI,B36+1,5),""))</f>
        <v>448034</v>
      </c>
      <c r="AB36" s="191"/>
      <c r="AC36" s="188">
        <f>IF('Słownik PW'!$A$11=FALSE,"",_xlfn.IFERROR(INDEX('Tabela PW'!$AC:$AI,B36+1,6),""))</f>
        <v>460866</v>
      </c>
      <c r="AD36" s="191"/>
      <c r="AE36" s="188">
        <f>IF('Słownik PW'!$A$11=FALSE,"",_xlfn.IFERROR(INDEX('Tabela PW'!$AC:$AI,B36+1,7),""))</f>
        <v>463002</v>
      </c>
      <c r="AF36" s="191"/>
      <c r="AG36" s="188">
        <f>IF('Słownik PW'!$A$11=FALSE,"",_xlfn.IFERROR(INDEX('Tabela PW'!$AC:$AJ,B36+1,8),""))</f>
        <v>630210</v>
      </c>
      <c r="AH36" s="191"/>
      <c r="AI36" s="188">
        <f>IF('Słownik PW'!$A$11=FALSE,"",_xlfn.IFERROR(INDEX('Tabela PW'!$AC:$AK,B36+1,9),""))</f>
        <v>700794</v>
      </c>
      <c r="AJ36" s="191"/>
      <c r="AK36" s="188">
        <f>IF('Słownik PW'!$A$11=FALSE,"",_xlfn.IFERROR(INDEX('Tabela PW'!$AC:$AL,B36+1,10),""))</f>
        <v>814673</v>
      </c>
    </row>
    <row r="37" spans="2:37" s="182" customFormat="1" ht="22.5" customHeight="1">
      <c r="B37" s="184">
        <f t="shared" si="0"/>
        <v>7</v>
      </c>
      <c r="D37" s="184" t="str">
        <f>_xlfn.IFERROR('Tabela PW'!Z8,"")</f>
        <v>Dolomit niekalcynowany ani niespiekany</v>
      </c>
      <c r="E37" s="183"/>
      <c r="F37" s="186" t="str">
        <f>_xlfn.IFERROR('Tabela PW'!AA8,"")</f>
        <v>t</v>
      </c>
      <c r="G37" s="184"/>
      <c r="H37" s="188">
        <f>_xlfn.IFERROR(INDEX('Tabela PW'!AC:AL,B37+1,'Słownik PW'!$A$26-2009),"")</f>
        <v>3392193</v>
      </c>
      <c r="I37" s="188"/>
      <c r="J37" s="188">
        <f>_xlfn.IFERROR(IF('Słownik PW'!$A$26=2010,"",INDEX('Tabela PW'!AC:AL,B37+1,'Słownik PW'!$A$26-2010)),"")</f>
        <v>3023640</v>
      </c>
      <c r="K37" s="187"/>
      <c r="L37" s="189">
        <f>_xlfn.IFERROR(IF('Słownik PW'!$A$26=2010,"",H37/J37*100),"")</f>
        <v>112.18905028376393</v>
      </c>
      <c r="M37" s="187"/>
      <c r="N37" s="399"/>
      <c r="O37" s="399"/>
      <c r="P37" s="187"/>
      <c r="Q37" s="189">
        <f>_xlfn.IFERROR(INDEX('Tabela PW'!AP:AP,B37+1,1),"")</f>
        <v>196.3884982634617</v>
      </c>
      <c r="R37" s="187"/>
      <c r="S37" s="188">
        <f>IF('Słownik PW'!$A$11=FALSE,"",_xlfn.IFERROR(INDEX('Tabela PW'!$AC:$AI,B37+1,1),""))</f>
        <v>1727287</v>
      </c>
      <c r="T37" s="188"/>
      <c r="U37" s="188">
        <f>IF('Słownik PW'!$A$11=FALSE,"",_xlfn.IFERROR(INDEX('Tabela PW'!$AC:$AI,B37+1,2),""))</f>
        <v>1794995</v>
      </c>
      <c r="V37" s="188"/>
      <c r="W37" s="188">
        <f>IF('Słownik PW'!$A$11=FALSE,"",_xlfn.IFERROR(INDEX('Tabela PW'!$AC:$AI,B37+1,3),""))</f>
        <v>1762674</v>
      </c>
      <c r="X37" s="188"/>
      <c r="Y37" s="188">
        <f>IF('Słownik PW'!$A$11=FALSE,"",_xlfn.IFERROR(INDEX('Tabela PW'!$AC:$AI,B37+1,4),""))</f>
        <v>1864460</v>
      </c>
      <c r="Z37" s="193"/>
      <c r="AA37" s="188">
        <f>IF('Słownik PW'!$A$11=FALSE,"",_xlfn.IFERROR(INDEX('Tabela PW'!$AC:$AI,B37+1,5),""))</f>
        <v>1996477</v>
      </c>
      <c r="AB37" s="191"/>
      <c r="AC37" s="188">
        <f>IF('Słownik PW'!$A$11=FALSE,"",_xlfn.IFERROR(INDEX('Tabela PW'!$AC:$AI,B37+1,6),""))</f>
        <v>3068868</v>
      </c>
      <c r="AD37" s="191"/>
      <c r="AE37" s="188">
        <f>IF('Słownik PW'!$A$11=FALSE,"",_xlfn.IFERROR(INDEX('Tabela PW'!$AC:$AI,B37+1,7),""))</f>
        <v>3258268</v>
      </c>
      <c r="AF37" s="191"/>
      <c r="AG37" s="188">
        <f>IF('Słownik PW'!$A$11=FALSE,"",_xlfn.IFERROR(INDEX('Tabela PW'!$AC:$AJ,B37+1,8),""))</f>
        <v>2760644</v>
      </c>
      <c r="AH37" s="191"/>
      <c r="AI37" s="188">
        <f>IF('Słownik PW'!$A$11=FALSE,"",_xlfn.IFERROR(INDEX('Tabela PW'!$AC:$AK,B37+1,9),""))</f>
        <v>3023640</v>
      </c>
      <c r="AJ37" s="191"/>
      <c r="AK37" s="188">
        <f>IF('Słownik PW'!$A$11=FALSE,"",_xlfn.IFERROR(INDEX('Tabela PW'!$AC:$AL,B37+1,10),""))</f>
        <v>3392193</v>
      </c>
    </row>
    <row r="38" spans="2:37" s="182" customFormat="1" ht="22.5" customHeight="1">
      <c r="B38" s="184">
        <f t="shared" si="0"/>
        <v>8</v>
      </c>
      <c r="D38" s="184" t="str">
        <f>_xlfn.IFERROR('Tabela PW'!Z9,"")</f>
        <v>Piaski krzemionkowe i piaski kwarcowe</v>
      </c>
      <c r="E38" s="183"/>
      <c r="F38" s="186" t="str">
        <f>_xlfn.IFERROR('Tabela PW'!AA9,"")</f>
        <v>t</v>
      </c>
      <c r="G38" s="184"/>
      <c r="H38" s="188">
        <f>_xlfn.IFERROR(INDEX('Tabela PW'!AC:AL,B38+1,'Słownik PW'!$A$26-2009),"")</f>
        <v>9644488</v>
      </c>
      <c r="I38" s="188"/>
      <c r="J38" s="188">
        <f>_xlfn.IFERROR(IF('Słownik PW'!$A$26=2010,"",INDEX('Tabela PW'!AC:AL,B38+1,'Słownik PW'!$A$26-2010)),"")</f>
        <v>8943327</v>
      </c>
      <c r="K38" s="187"/>
      <c r="L38" s="189">
        <f>_xlfn.IFERROR(IF('Słownik PW'!$A$26=2010,"",H38/J38*100),"")</f>
        <v>107.84004655090884</v>
      </c>
      <c r="M38" s="187"/>
      <c r="N38" s="399"/>
      <c r="O38" s="399"/>
      <c r="P38" s="187"/>
      <c r="Q38" s="189">
        <f>_xlfn.IFERROR(INDEX('Tabela PW'!AP:AP,B38+1,1),"")</f>
        <v>125.48922251233523</v>
      </c>
      <c r="R38" s="187"/>
      <c r="S38" s="188">
        <f>IF('Słownik PW'!$A$11=FALSE,"",_xlfn.IFERROR(INDEX('Tabela PW'!$AC:$AI,B38+1,1),""))</f>
        <v>7685511</v>
      </c>
      <c r="T38" s="188"/>
      <c r="U38" s="188">
        <f>IF('Słownik PW'!$A$11=FALSE,"",_xlfn.IFERROR(INDEX('Tabela PW'!$AC:$AI,B38+1,2),""))</f>
        <v>15102999</v>
      </c>
      <c r="V38" s="188"/>
      <c r="W38" s="188">
        <f>IF('Słownik PW'!$A$11=FALSE,"",_xlfn.IFERROR(INDEX('Tabela PW'!$AC:$AI,B38+1,3),""))</f>
        <v>10544645</v>
      </c>
      <c r="X38" s="188"/>
      <c r="Y38" s="188">
        <f>IF('Słownik PW'!$A$11=FALSE,"",_xlfn.IFERROR(INDEX('Tabela PW'!$AC:$AI,B38+1,4),""))</f>
        <v>9877689</v>
      </c>
      <c r="Z38" s="193"/>
      <c r="AA38" s="188">
        <f>IF('Słownik PW'!$A$11=FALSE,"",_xlfn.IFERROR(INDEX('Tabela PW'!$AC:$AI,B38+1,5),""))</f>
        <v>9296983</v>
      </c>
      <c r="AB38" s="191"/>
      <c r="AC38" s="188">
        <f>IF('Słownik PW'!$A$11=FALSE,"",_xlfn.IFERROR(INDEX('Tabela PW'!$AC:$AI,B38+1,6),""))</f>
        <v>10389973</v>
      </c>
      <c r="AD38" s="191"/>
      <c r="AE38" s="188">
        <f>IF('Słownik PW'!$A$11=FALSE,"",_xlfn.IFERROR(INDEX('Tabela PW'!$AC:$AI,B38+1,7),""))</f>
        <v>8984402</v>
      </c>
      <c r="AF38" s="191"/>
      <c r="AG38" s="188">
        <f>IF('Słownik PW'!$A$11=FALSE,"",_xlfn.IFERROR(INDEX('Tabela PW'!$AC:$AJ,B38+1,8),""))</f>
        <v>9023275</v>
      </c>
      <c r="AH38" s="191"/>
      <c r="AI38" s="188">
        <f>IF('Słownik PW'!$A$11=FALSE,"",_xlfn.IFERROR(INDEX('Tabela PW'!$AC:$AK,B38+1,9),""))</f>
        <v>8943327</v>
      </c>
      <c r="AJ38" s="191"/>
      <c r="AK38" s="188">
        <f>IF('Słownik PW'!$A$11=FALSE,"",_xlfn.IFERROR(INDEX('Tabela PW'!$AC:$AL,B38+1,10),""))</f>
        <v>9644488</v>
      </c>
    </row>
    <row r="39" spans="2:37" s="182" customFormat="1" ht="22.5" customHeight="1">
      <c r="B39" s="184">
        <f t="shared" si="0"/>
        <v>9</v>
      </c>
      <c r="D39" s="184" t="str">
        <f>_xlfn.IFERROR('Tabela PW'!Z10,"")</f>
        <v>Piasek szklarski</v>
      </c>
      <c r="E39" s="183"/>
      <c r="F39" s="186" t="str">
        <f>_xlfn.IFERROR('Tabela PW'!AA10,"")</f>
        <v>t</v>
      </c>
      <c r="G39" s="184"/>
      <c r="H39" s="188">
        <f>_xlfn.IFERROR(INDEX('Tabela PW'!AC:AL,B39+1,'Słownik PW'!$A$26-2009),"")</f>
        <v>2853703</v>
      </c>
      <c r="I39" s="188"/>
      <c r="J39" s="188">
        <f>_xlfn.IFERROR(IF('Słownik PW'!$A$26=2010,"",INDEX('Tabela PW'!AC:AL,B39+1,'Słownik PW'!$A$26-2010)),"")</f>
        <v>2434920</v>
      </c>
      <c r="K39" s="187"/>
      <c r="L39" s="189">
        <f>_xlfn.IFERROR(IF('Słownik PW'!$A$26=2010,"",H39/J39*100),"")</f>
        <v>117.19904555385803</v>
      </c>
      <c r="M39" s="187"/>
      <c r="N39" s="399"/>
      <c r="O39" s="399"/>
      <c r="P39" s="187"/>
      <c r="Q39" s="189">
        <f>_xlfn.IFERROR(INDEX('Tabela PW'!AP:AP,B39+1,1),"")</f>
        <v>116.11884254819087</v>
      </c>
      <c r="R39" s="187"/>
      <c r="S39" s="188">
        <f>IF('Słownik PW'!$A$11=FALSE,"",_xlfn.IFERROR(INDEX('Tabela PW'!$AC:$AI,B39+1,1),""))</f>
        <v>2457571</v>
      </c>
      <c r="T39" s="188"/>
      <c r="U39" s="188">
        <f>IF('Słownik PW'!$A$11=FALSE,"",_xlfn.IFERROR(INDEX('Tabela PW'!$AC:$AI,B39+1,2),""))</f>
        <v>2569919</v>
      </c>
      <c r="V39" s="188"/>
      <c r="W39" s="188">
        <f>IF('Słownik PW'!$A$11=FALSE,"",_xlfn.IFERROR(INDEX('Tabela PW'!$AC:$AI,B39+1,3),""))</f>
        <v>2354407</v>
      </c>
      <c r="X39" s="188"/>
      <c r="Y39" s="188">
        <f>IF('Słownik PW'!$A$11=FALSE,"",_xlfn.IFERROR(INDEX('Tabela PW'!$AC:$AI,B39+1,4),""))</f>
        <v>2342998</v>
      </c>
      <c r="Z39" s="193"/>
      <c r="AA39" s="188">
        <f>IF('Słownik PW'!$A$11=FALSE,"",_xlfn.IFERROR(INDEX('Tabela PW'!$AC:$AI,B39+1,5),""))</f>
        <v>2256483</v>
      </c>
      <c r="AB39" s="191"/>
      <c r="AC39" s="188">
        <f>IF('Słownik PW'!$A$11=FALSE,"",_xlfn.IFERROR(INDEX('Tabela PW'!$AC:$AI,B39+1,6),""))</f>
        <v>2447918</v>
      </c>
      <c r="AD39" s="191"/>
      <c r="AE39" s="188">
        <f>IF('Słownik PW'!$A$11=FALSE,"",_xlfn.IFERROR(INDEX('Tabela PW'!$AC:$AI,B39+1,7),""))</f>
        <v>2368760</v>
      </c>
      <c r="AF39" s="191"/>
      <c r="AG39" s="188">
        <f>IF('Słownik PW'!$A$11=FALSE,"",_xlfn.IFERROR(INDEX('Tabela PW'!$AC:$AJ,B39+1,8),""))</f>
        <v>2472231</v>
      </c>
      <c r="AH39" s="191"/>
      <c r="AI39" s="188">
        <f>IF('Słownik PW'!$A$11=FALSE,"",_xlfn.IFERROR(INDEX('Tabela PW'!$AC:$AK,B39+1,9),""))</f>
        <v>2434920</v>
      </c>
      <c r="AJ39" s="191"/>
      <c r="AK39" s="188">
        <f>IF('Słownik PW'!$A$11=FALSE,"",_xlfn.IFERROR(INDEX('Tabela PW'!$AC:$AL,B39+1,10),""))</f>
        <v>2853703</v>
      </c>
    </row>
    <row r="40" spans="2:37" s="182" customFormat="1" ht="22.5" customHeight="1">
      <c r="B40" s="184">
        <f t="shared" si="0"/>
        <v>10</v>
      </c>
      <c r="D40" s="184" t="str">
        <f>_xlfn.IFERROR('Tabela PW'!Z11,"")</f>
        <v>Piasek formierski</v>
      </c>
      <c r="E40" s="183"/>
      <c r="F40" s="186" t="str">
        <f>_xlfn.IFERROR('Tabela PW'!AA11,"")</f>
        <v>t</v>
      </c>
      <c r="G40" s="184"/>
      <c r="H40" s="188">
        <f>_xlfn.IFERROR(INDEX('Tabela PW'!AC:AL,B40+1,'Słownik PW'!$A$26-2009),"")</f>
        <v>1480320</v>
      </c>
      <c r="I40" s="188"/>
      <c r="J40" s="188">
        <f>_xlfn.IFERROR(IF('Słownik PW'!$A$26=2010,"",INDEX('Tabela PW'!AC:AL,B40+1,'Słownik PW'!$A$26-2010)),"")</f>
        <v>1511645</v>
      </c>
      <c r="K40" s="187"/>
      <c r="L40" s="189">
        <f>_xlfn.IFERROR(IF('Słownik PW'!$A$26=2010,"",H40/J40*100),"")</f>
        <v>97.92775420154865</v>
      </c>
      <c r="M40" s="187"/>
      <c r="N40" s="399"/>
      <c r="O40" s="399"/>
      <c r="P40" s="187"/>
      <c r="Q40" s="189">
        <f>_xlfn.IFERROR(INDEX('Tabela PW'!AP:AP,B40+1,1),"")</f>
        <v>81.4866110108651</v>
      </c>
      <c r="R40" s="187"/>
      <c r="S40" s="188">
        <f>IF('Słownik PW'!$A$11=FALSE,"",_xlfn.IFERROR(INDEX('Tabela PW'!$AC:$AI,B40+1,1),""))</f>
        <v>1816642</v>
      </c>
      <c r="T40" s="188"/>
      <c r="U40" s="188">
        <f>IF('Słownik PW'!$A$11=FALSE,"",_xlfn.IFERROR(INDEX('Tabela PW'!$AC:$AI,B40+1,2),""))</f>
        <v>2095734</v>
      </c>
      <c r="V40" s="188"/>
      <c r="W40" s="188">
        <f>IF('Słownik PW'!$A$11=FALSE,"",_xlfn.IFERROR(INDEX('Tabela PW'!$AC:$AI,B40+1,3),""))</f>
        <v>2933982</v>
      </c>
      <c r="X40" s="188"/>
      <c r="Y40" s="188">
        <f>IF('Słownik PW'!$A$11=FALSE,"",_xlfn.IFERROR(INDEX('Tabela PW'!$AC:$AI,B40+1,4),""))</f>
        <v>3360455</v>
      </c>
      <c r="Z40" s="193"/>
      <c r="AA40" s="188">
        <f>IF('Słownik PW'!$A$11=FALSE,"",_xlfn.IFERROR(INDEX('Tabela PW'!$AC:$AI,B40+1,5),""))</f>
        <v>1796134</v>
      </c>
      <c r="AB40" s="191"/>
      <c r="AC40" s="188">
        <f>IF('Słownik PW'!$A$11=FALSE,"",_xlfn.IFERROR(INDEX('Tabela PW'!$AC:$AI,B40+1,6),""))</f>
        <v>1633220</v>
      </c>
      <c r="AD40" s="191"/>
      <c r="AE40" s="188">
        <f>IF('Słownik PW'!$A$11=FALSE,"",_xlfn.IFERROR(INDEX('Tabela PW'!$AC:$AI,B40+1,7),""))</f>
        <v>1643240</v>
      </c>
      <c r="AF40" s="191"/>
      <c r="AG40" s="188">
        <f>IF('Słownik PW'!$A$11=FALSE,"",_xlfn.IFERROR(INDEX('Tabela PW'!$AC:$AJ,B40+1,8),""))</f>
        <v>1642877</v>
      </c>
      <c r="AH40" s="191"/>
      <c r="AI40" s="188">
        <f>IF('Słownik PW'!$A$11=FALSE,"",_xlfn.IFERROR(INDEX('Tabela PW'!$AC:$AK,B40+1,9),""))</f>
        <v>1511645</v>
      </c>
      <c r="AJ40" s="191"/>
      <c r="AK40" s="188">
        <f>IF('Słownik PW'!$A$11=FALSE,"",_xlfn.IFERROR(INDEX('Tabela PW'!$AC:$AL,B40+1,10),""))</f>
        <v>1480320</v>
      </c>
    </row>
    <row r="41" spans="2:37" s="182" customFormat="1" ht="22.5" customHeight="1">
      <c r="B41" s="184">
        <f t="shared" si="0"/>
        <v>11</v>
      </c>
      <c r="D41" s="184" t="str">
        <f>_xlfn.IFERROR('Tabela PW'!Z12,"")</f>
        <v>Żwir, otoczaki, gruby żwir i krzemień w rodzaju stosowanych jako kruszywo do betonu, tłuczeń drogowy lub podsypka torów kolejowych</v>
      </c>
      <c r="E41" s="183"/>
      <c r="F41" s="186" t="str">
        <f>_xlfn.IFERROR('Tabela PW'!AA12,"")</f>
        <v>t</v>
      </c>
      <c r="G41" s="184"/>
      <c r="H41" s="188">
        <f>_xlfn.IFERROR(INDEX('Tabela PW'!AC:AL,B41+1,'Słownik PW'!$A$26-2009),"")</f>
        <v>51915267</v>
      </c>
      <c r="I41" s="188"/>
      <c r="J41" s="188">
        <f>_xlfn.IFERROR(IF('Słownik PW'!$A$26=2010,"",INDEX('Tabela PW'!AC:AL,B41+1,'Słownik PW'!$A$26-2010)),"")</f>
        <v>43214503</v>
      </c>
      <c r="K41" s="187"/>
      <c r="L41" s="189">
        <f>_xlfn.IFERROR(IF('Słownik PW'!$A$26=2010,"",H41/J41*100),"")</f>
        <v>120.13389810360655</v>
      </c>
      <c r="M41" s="187"/>
      <c r="N41" s="399"/>
      <c r="O41" s="399"/>
      <c r="P41" s="187"/>
      <c r="Q41" s="189">
        <f>_xlfn.IFERROR(INDEX('Tabela PW'!AP:AP,B41+1,1),"")</f>
        <v>127.42193578144183</v>
      </c>
      <c r="R41" s="187"/>
      <c r="S41" s="188">
        <f>IF('Słownik PW'!$A$11=FALSE,"",_xlfn.IFERROR(INDEX('Tabela PW'!$AC:$AI,B41+1,1),""))</f>
        <v>40742802</v>
      </c>
      <c r="T41" s="188"/>
      <c r="U41" s="188">
        <f>IF('Słownik PW'!$A$11=FALSE,"",_xlfn.IFERROR(INDEX('Tabela PW'!$AC:$AI,B41+1,2),""))</f>
        <v>53448766</v>
      </c>
      <c r="V41" s="188"/>
      <c r="W41" s="188">
        <f>IF('Słownik PW'!$A$11=FALSE,"",_xlfn.IFERROR(INDEX('Tabela PW'!$AC:$AI,B41+1,3),""))</f>
        <v>36913811</v>
      </c>
      <c r="X41" s="188"/>
      <c r="Y41" s="188">
        <f>IF('Słownik PW'!$A$11=FALSE,"",_xlfn.IFERROR(INDEX('Tabela PW'!$AC:$AI,B41+1,4),""))</f>
        <v>36483388</v>
      </c>
      <c r="Z41" s="193"/>
      <c r="AA41" s="188">
        <f>IF('Słownik PW'!$A$11=FALSE,"",_xlfn.IFERROR(INDEX('Tabela PW'!$AC:$AI,B41+1,5),""))</f>
        <v>36247838</v>
      </c>
      <c r="AB41" s="191"/>
      <c r="AC41" s="188">
        <f>IF('Słownik PW'!$A$11=FALSE,"",_xlfn.IFERROR(INDEX('Tabela PW'!$AC:$AI,B41+1,6),""))</f>
        <v>37766698</v>
      </c>
      <c r="AD41" s="191"/>
      <c r="AE41" s="188">
        <f>IF('Słownik PW'!$A$11=FALSE,"",_xlfn.IFERROR(INDEX('Tabela PW'!$AC:$AI,B41+1,7),""))</f>
        <v>37238019</v>
      </c>
      <c r="AF41" s="191"/>
      <c r="AG41" s="188">
        <f>IF('Słownik PW'!$A$11=FALSE,"",_xlfn.IFERROR(INDEX('Tabela PW'!$AC:$AJ,B41+1,8),""))</f>
        <v>44840171</v>
      </c>
      <c r="AH41" s="191"/>
      <c r="AI41" s="188">
        <f>IF('Słownik PW'!$A$11=FALSE,"",_xlfn.IFERROR(INDEX('Tabela PW'!$AC:$AK,B41+1,9),""))</f>
        <v>43214503</v>
      </c>
      <c r="AJ41" s="191"/>
      <c r="AK41" s="188">
        <f>IF('Słownik PW'!$A$11=FALSE,"",_xlfn.IFERROR(INDEX('Tabela PW'!$AC:$AL,B41+1,10),""))</f>
        <v>51915267</v>
      </c>
    </row>
    <row r="42" spans="2:37" s="182" customFormat="1" ht="22.5" customHeight="1">
      <c r="B42" s="184">
        <f t="shared" si="0"/>
        <v>12</v>
      </c>
      <c r="D42" s="184" t="str">
        <f>_xlfn.IFERROR('Tabela PW'!Z13,"")</f>
        <v>Tłuczeń kamienny w rodzaju stosowanego jako kruszywo do betonu, tłuczeń drogowy lub do innych celów budowlanych (kruszywo mineralne łamane zwykłe)</v>
      </c>
      <c r="E42" s="183"/>
      <c r="F42" s="186" t="str">
        <f>_xlfn.IFERROR('Tabela PW'!AA13,"")</f>
        <v>t</v>
      </c>
      <c r="G42" s="184"/>
      <c r="H42" s="188">
        <f>_xlfn.IFERROR(INDEX('Tabela PW'!AC:AL,B42+1,'Słownik PW'!$A$26-2009),"")</f>
        <v>78143958</v>
      </c>
      <c r="I42" s="188"/>
      <c r="J42" s="188">
        <f>_xlfn.IFERROR(IF('Słownik PW'!$A$26=2010,"",INDEX('Tabela PW'!AC:AL,B42+1,'Słownik PW'!$A$26-2010)),"")</f>
        <v>76694626</v>
      </c>
      <c r="K42" s="187"/>
      <c r="L42" s="189">
        <f>_xlfn.IFERROR(IF('Słownik PW'!$A$26=2010,"",H42/J42*100),"")</f>
        <v>101.8897438785346</v>
      </c>
      <c r="M42" s="187"/>
      <c r="N42" s="399"/>
      <c r="O42" s="399"/>
      <c r="P42" s="187"/>
      <c r="Q42" s="189">
        <f>_xlfn.IFERROR(INDEX('Tabela PW'!AP:AP,B42+1,1),"")</f>
        <v>134.2593391033061</v>
      </c>
      <c r="R42" s="187"/>
      <c r="S42" s="188">
        <f>IF('Słownik PW'!$A$11=FALSE,"",_xlfn.IFERROR(INDEX('Tabela PW'!$AC:$AI,B42+1,1),""))</f>
        <v>58203741</v>
      </c>
      <c r="T42" s="188"/>
      <c r="U42" s="188">
        <f>IF('Słownik PW'!$A$11=FALSE,"",_xlfn.IFERROR(INDEX('Tabela PW'!$AC:$AI,B42+1,2),""))</f>
        <v>83037605</v>
      </c>
      <c r="V42" s="188"/>
      <c r="W42" s="188">
        <f>IF('Słownik PW'!$A$11=FALSE,"",_xlfn.IFERROR(INDEX('Tabela PW'!$AC:$AI,B42+1,3),""))</f>
        <v>61804944</v>
      </c>
      <c r="X42" s="188"/>
      <c r="Y42" s="188">
        <f>IF('Słownik PW'!$A$11=FALSE,"",_xlfn.IFERROR(INDEX('Tabela PW'!$AC:$AI,B42+1,4),""))</f>
        <v>54192819</v>
      </c>
      <c r="Z42" s="193"/>
      <c r="AA42" s="188">
        <f>IF('Słownik PW'!$A$11=FALSE,"",_xlfn.IFERROR(INDEX('Tabela PW'!$AC:$AI,B42+1,5),""))</f>
        <v>57167615</v>
      </c>
      <c r="AB42" s="191"/>
      <c r="AC42" s="188">
        <f>IF('Słownik PW'!$A$11=FALSE,"",_xlfn.IFERROR(INDEX('Tabela PW'!$AC:$AI,B42+1,6),""))</f>
        <v>57529537</v>
      </c>
      <c r="AD42" s="191"/>
      <c r="AE42" s="188">
        <f>IF('Słownik PW'!$A$11=FALSE,"",_xlfn.IFERROR(INDEX('Tabela PW'!$AC:$AI,B42+1,7),""))</f>
        <v>56324657</v>
      </c>
      <c r="AF42" s="191"/>
      <c r="AG42" s="188">
        <f>IF('Słownik PW'!$A$11=FALSE,"",_xlfn.IFERROR(INDEX('Tabela PW'!$AC:$AJ,B42+1,8),""))</f>
        <v>64418641</v>
      </c>
      <c r="AH42" s="191"/>
      <c r="AI42" s="188">
        <f>IF('Słownik PW'!$A$11=FALSE,"",_xlfn.IFERROR(INDEX('Tabela PW'!$AC:$AK,B42+1,9),""))</f>
        <v>76694626</v>
      </c>
      <c r="AJ42" s="191"/>
      <c r="AK42" s="188">
        <f>IF('Słownik PW'!$A$11=FALSE,"",_xlfn.IFERROR(INDEX('Tabela PW'!$AC:$AL,B42+1,10),""))</f>
        <v>78143958</v>
      </c>
    </row>
    <row r="43" spans="2:37" s="182" customFormat="1" ht="22.5" customHeight="1">
      <c r="B43" s="184">
        <f t="shared" si="0"/>
        <v>13</v>
      </c>
      <c r="D43" s="184" t="str">
        <f>_xlfn.IFERROR('Tabela PW'!Z14,"")</f>
        <v>Granulki, odłamki i proszek kamienny (trawertyn, ekausyna, granit, porfir, bazalt, piaskowiec i pozostały kamień pomnikowy)</v>
      </c>
      <c r="E43" s="183"/>
      <c r="F43" s="186" t="str">
        <f>_xlfn.IFERROR('Tabela PW'!AA14,"")</f>
        <v>t</v>
      </c>
      <c r="G43" s="184"/>
      <c r="H43" s="188">
        <f>_xlfn.IFERROR(INDEX('Tabela PW'!AC:AL,B43+1,'Słownik PW'!$A$26-2009),"")</f>
        <v>3418470</v>
      </c>
      <c r="I43" s="188"/>
      <c r="J43" s="188">
        <f>_xlfn.IFERROR(IF('Słownik PW'!$A$26=2010,"",INDEX('Tabela PW'!AC:AL,B43+1,'Słownik PW'!$A$26-2010)),"")</f>
        <v>3466111</v>
      </c>
      <c r="K43" s="187"/>
      <c r="L43" s="189">
        <f>_xlfn.IFERROR(IF('Słownik PW'!$A$26=2010,"",H43/J43*100),"")</f>
        <v>98.62552007134221</v>
      </c>
      <c r="M43" s="187"/>
      <c r="N43" s="399"/>
      <c r="O43" s="399"/>
      <c r="P43" s="187"/>
      <c r="Q43" s="189">
        <f>_xlfn.IFERROR(INDEX('Tabela PW'!AP:AP,B43+1,1),"")</f>
        <v>73.70853683227533</v>
      </c>
      <c r="R43" s="187"/>
      <c r="S43" s="188">
        <f>IF('Słownik PW'!$A$11=FALSE,"",_xlfn.IFERROR(INDEX('Tabela PW'!$AC:$AI,B43+1,1),""))</f>
        <v>4637821</v>
      </c>
      <c r="T43" s="188"/>
      <c r="U43" s="188">
        <f>IF('Słownik PW'!$A$11=FALSE,"",_xlfn.IFERROR(INDEX('Tabela PW'!$AC:$AI,B43+1,2),""))</f>
        <v>5625917</v>
      </c>
      <c r="V43" s="188"/>
      <c r="W43" s="188">
        <f>IF('Słownik PW'!$A$11=FALSE,"",_xlfn.IFERROR(INDEX('Tabela PW'!$AC:$AI,B43+1,3),""))</f>
        <v>3033811</v>
      </c>
      <c r="X43" s="188"/>
      <c r="Y43" s="188">
        <f>IF('Słownik PW'!$A$11=FALSE,"",_xlfn.IFERROR(INDEX('Tabela PW'!$AC:$AI,B43+1,4),""))</f>
        <v>3648898</v>
      </c>
      <c r="Z43" s="193"/>
      <c r="AA43" s="188">
        <f>IF('Słownik PW'!$A$11=FALSE,"",_xlfn.IFERROR(INDEX('Tabela PW'!$AC:$AI,B43+1,5),""))</f>
        <v>3923432</v>
      </c>
      <c r="AB43" s="191"/>
      <c r="AC43" s="188">
        <f>IF('Słownik PW'!$A$11=FALSE,"",_xlfn.IFERROR(INDEX('Tabela PW'!$AC:$AI,B43+1,6),""))</f>
        <v>3135835</v>
      </c>
      <c r="AD43" s="191"/>
      <c r="AE43" s="188">
        <f>IF('Słownik PW'!$A$11=FALSE,"",_xlfn.IFERROR(INDEX('Tabela PW'!$AC:$AI,B43+1,7),""))</f>
        <v>3122977</v>
      </c>
      <c r="AF43" s="191"/>
      <c r="AG43" s="188">
        <f>IF('Słownik PW'!$A$11=FALSE,"",_xlfn.IFERROR(INDEX('Tabela PW'!$AC:$AJ,B43+1,8),""))</f>
        <v>3197932</v>
      </c>
      <c r="AH43" s="191"/>
      <c r="AI43" s="188">
        <f>IF('Słownik PW'!$A$11=FALSE,"",_xlfn.IFERROR(INDEX('Tabela PW'!$AC:$AK,B43+1,9),""))</f>
        <v>3466111</v>
      </c>
      <c r="AJ43" s="191"/>
      <c r="AK43" s="188">
        <f>IF('Słownik PW'!$A$11=FALSE,"",_xlfn.IFERROR(INDEX('Tabela PW'!$AC:$AL,B43+1,10),""))</f>
        <v>3418470</v>
      </c>
    </row>
    <row r="44" spans="2:37" s="182" customFormat="1" ht="22.5" customHeight="1">
      <c r="B44" s="184">
        <f t="shared" si="0"/>
        <v>14</v>
      </c>
      <c r="D44" s="184" t="str">
        <f>_xlfn.IFERROR('Tabela PW'!Z15,"")</f>
        <v>Kaolin i gliny kaolinowe</v>
      </c>
      <c r="E44" s="183"/>
      <c r="F44" s="186" t="str">
        <f>_xlfn.IFERROR('Tabela PW'!AA15,"")</f>
        <v>t</v>
      </c>
      <c r="G44" s="184"/>
      <c r="H44" s="188">
        <f>_xlfn.IFERROR(INDEX('Tabela PW'!AC:AL,B44+1,'Słownik PW'!$A$26-2009),"")</f>
        <v>187184</v>
      </c>
      <c r="I44" s="188"/>
      <c r="J44" s="188">
        <f>_xlfn.IFERROR(IF('Słownik PW'!$A$26=2010,"",INDEX('Tabela PW'!AC:AL,B44+1,'Słownik PW'!$A$26-2010)),"")</f>
        <v>192447</v>
      </c>
      <c r="K44" s="187"/>
      <c r="L44" s="189">
        <f>_xlfn.IFERROR(IF('Słownik PW'!$A$26=2010,"",H44/J44*100),"")</f>
        <v>97.26522107385411</v>
      </c>
      <c r="M44" s="187"/>
      <c r="N44" s="399"/>
      <c r="O44" s="399"/>
      <c r="P44" s="187"/>
      <c r="Q44" s="189">
        <f>_xlfn.IFERROR(INDEX('Tabela PW'!AP:AP,B44+1,1),"")</f>
        <v>95.22704842139535</v>
      </c>
      <c r="R44" s="187"/>
      <c r="S44" s="188">
        <f>IF('Słownik PW'!$A$11=FALSE,"",_xlfn.IFERROR(INDEX('Tabela PW'!$AC:$AI,B44+1,1),""))</f>
        <v>196566</v>
      </c>
      <c r="T44" s="188"/>
      <c r="U44" s="188">
        <f>IF('Słownik PW'!$A$11=FALSE,"",_xlfn.IFERROR(INDEX('Tabela PW'!$AC:$AI,B44+1,2),""))</f>
        <v>212473</v>
      </c>
      <c r="V44" s="188"/>
      <c r="W44" s="188">
        <f>IF('Słownik PW'!$A$11=FALSE,"",_xlfn.IFERROR(INDEX('Tabela PW'!$AC:$AI,B44+1,3),""))</f>
        <v>169153</v>
      </c>
      <c r="X44" s="188"/>
      <c r="Y44" s="188">
        <f>IF('Słownik PW'!$A$11=FALSE,"",_xlfn.IFERROR(INDEX('Tabela PW'!$AC:$AI,B44+1,4),""))</f>
        <v>200976</v>
      </c>
      <c r="Z44" s="193"/>
      <c r="AA44" s="188">
        <f>IF('Słownik PW'!$A$11=FALSE,"",_xlfn.IFERROR(INDEX('Tabela PW'!$AC:$AI,B44+1,5),""))</f>
        <v>198500</v>
      </c>
      <c r="AB44" s="191"/>
      <c r="AC44" s="188">
        <f>IF('Słownik PW'!$A$11=FALSE,"",_xlfn.IFERROR(INDEX('Tabela PW'!$AC:$AI,B44+1,6),""))</f>
        <v>172291</v>
      </c>
      <c r="AD44" s="191"/>
      <c r="AE44" s="188">
        <f>IF('Słownik PW'!$A$11=FALSE,"",_xlfn.IFERROR(INDEX('Tabela PW'!$AC:$AI,B44+1,7),""))</f>
        <v>176012</v>
      </c>
      <c r="AF44" s="191"/>
      <c r="AG44" s="188">
        <f>IF('Słownik PW'!$A$11=FALSE,"",_xlfn.IFERROR(INDEX('Tabela PW'!$AC:$AJ,B44+1,8),""))</f>
        <v>177051</v>
      </c>
      <c r="AH44" s="191"/>
      <c r="AI44" s="188">
        <f>IF('Słownik PW'!$A$11=FALSE,"",_xlfn.IFERROR(INDEX('Tabela PW'!$AC:$AK,B44+1,9),""))</f>
        <v>192447</v>
      </c>
      <c r="AJ44" s="191"/>
      <c r="AK44" s="188">
        <f>IF('Słownik PW'!$A$11=FALSE,"",_xlfn.IFERROR(INDEX('Tabela PW'!$AC:$AL,B44+1,10),""))</f>
        <v>187184</v>
      </c>
    </row>
    <row r="45" spans="2:37" s="182" customFormat="1" ht="22.5" customHeight="1">
      <c r="B45" s="184">
        <f t="shared" si="0"/>
        <v>15</v>
      </c>
      <c r="D45" s="184" t="str">
        <f>_xlfn.IFERROR('Tabela PW'!Z16,"")</f>
        <v>Glina ogniotrwała</v>
      </c>
      <c r="E45" s="183"/>
      <c r="F45" s="186" t="str">
        <f>_xlfn.IFERROR('Tabela PW'!AA16,"")</f>
        <v>t</v>
      </c>
      <c r="G45" s="184"/>
      <c r="H45" s="188">
        <f>_xlfn.IFERROR(INDEX('Tabela PW'!AC:AL,B45+1,'Słownik PW'!$A$26-2009),"")</f>
        <v>97916</v>
      </c>
      <c r="I45" s="188"/>
      <c r="J45" s="188">
        <f>_xlfn.IFERROR(IF('Słownik PW'!$A$26=2010,"",INDEX('Tabela PW'!AC:AL,B45+1,'Słownik PW'!$A$26-2010)),"")</f>
        <v>118970</v>
      </c>
      <c r="K45" s="187"/>
      <c r="L45" s="189">
        <f>_xlfn.IFERROR(IF('Słownik PW'!$A$26=2010,"",H45/J45*100),"")</f>
        <v>82.30310162225771</v>
      </c>
      <c r="M45" s="187"/>
      <c r="N45" s="399"/>
      <c r="O45" s="399"/>
      <c r="P45" s="187"/>
      <c r="Q45" s="189">
        <f>_xlfn.IFERROR(INDEX('Tabela PW'!AP:AP,B45+1,1),"")</f>
        <v>91.58902982003218</v>
      </c>
      <c r="R45" s="187"/>
      <c r="S45" s="188">
        <f>IF('Słownik PW'!$A$11=FALSE,"",_xlfn.IFERROR(INDEX('Tabela PW'!$AC:$AI,B45+1,1),""))</f>
        <v>106908</v>
      </c>
      <c r="T45" s="188"/>
      <c r="U45" s="188">
        <f>IF('Słownik PW'!$A$11=FALSE,"",_xlfn.IFERROR(INDEX('Tabela PW'!$AC:$AI,B45+1,2),""))</f>
        <v>174080</v>
      </c>
      <c r="V45" s="188"/>
      <c r="W45" s="188">
        <f>IF('Słownik PW'!$A$11=FALSE,"",_xlfn.IFERROR(INDEX('Tabela PW'!$AC:$AI,B45+1,3),""))</f>
        <v>149521</v>
      </c>
      <c r="X45" s="188"/>
      <c r="Y45" s="188">
        <f>IF('Słownik PW'!$A$11=FALSE,"",_xlfn.IFERROR(INDEX('Tabela PW'!$AC:$AI,B45+1,4),""))</f>
        <v>154850</v>
      </c>
      <c r="Z45" s="193"/>
      <c r="AA45" s="188">
        <f>IF('Słownik PW'!$A$11=FALSE,"",_xlfn.IFERROR(INDEX('Tabela PW'!$AC:$AI,B45+1,5),""))</f>
        <v>138644</v>
      </c>
      <c r="AB45" s="191"/>
      <c r="AC45" s="188">
        <f>IF('Słownik PW'!$A$11=FALSE,"",_xlfn.IFERROR(INDEX('Tabela PW'!$AC:$AI,B45+1,6),""))</f>
        <v>145082</v>
      </c>
      <c r="AD45" s="191"/>
      <c r="AE45" s="188">
        <f>IF('Słownik PW'!$A$11=FALSE,"",_xlfn.IFERROR(INDEX('Tabela PW'!$AC:$AI,B45+1,7),""))</f>
        <v>125350</v>
      </c>
      <c r="AF45" s="191"/>
      <c r="AG45" s="188">
        <f>IF('Słownik PW'!$A$11=FALSE,"",_xlfn.IFERROR(INDEX('Tabela PW'!$AC:$AJ,B45+1,8),""))</f>
        <v>107447</v>
      </c>
      <c r="AH45" s="191"/>
      <c r="AI45" s="188">
        <f>IF('Słownik PW'!$A$11=FALSE,"",_xlfn.IFERROR(INDEX('Tabela PW'!$AC:$AK,B45+1,9),""))</f>
        <v>118970</v>
      </c>
      <c r="AJ45" s="191"/>
      <c r="AK45" s="188">
        <f>IF('Słownik PW'!$A$11=FALSE,"",_xlfn.IFERROR(INDEX('Tabela PW'!$AC:$AL,B45+1,10),""))</f>
        <v>97916</v>
      </c>
    </row>
    <row r="46" spans="2:37" s="182" customFormat="1" ht="22.5" customHeight="1">
      <c r="B46" s="184">
        <f t="shared" si="0"/>
        <v>16</v>
      </c>
      <c r="D46" s="184" t="str">
        <f>_xlfn.IFERROR('Tabela PW'!Z17,"")</f>
        <v>Glina ogniotrwała surowa</v>
      </c>
      <c r="E46" s="183"/>
      <c r="F46" s="186" t="str">
        <f>_xlfn.IFERROR('Tabela PW'!AA17,"")</f>
        <v>t</v>
      </c>
      <c r="G46" s="184"/>
      <c r="H46" s="188">
        <f>_xlfn.IFERROR(INDEX('Tabela PW'!AC:AL,B46+1,'Słownik PW'!$A$26-2009),"")</f>
        <v>82095</v>
      </c>
      <c r="I46" s="188"/>
      <c r="J46" s="188">
        <f>_xlfn.IFERROR(IF('Słownik PW'!$A$26=2010,"",INDEX('Tabela PW'!AC:AL,B46+1,'Słownik PW'!$A$26-2010)),"")</f>
        <v>98581</v>
      </c>
      <c r="K46" s="187"/>
      <c r="L46" s="189">
        <f>_xlfn.IFERROR(IF('Słownik PW'!$A$26=2010,"",H46/J46*100),"")</f>
        <v>83.27669632079204</v>
      </c>
      <c r="M46" s="187"/>
      <c r="N46" s="399"/>
      <c r="O46" s="399"/>
      <c r="P46" s="187"/>
      <c r="Q46" s="189">
        <f>_xlfn.IFERROR(INDEX('Tabela PW'!AP:AP,B46+1,1),"")</f>
        <v>100.52407949355309</v>
      </c>
      <c r="R46" s="187"/>
      <c r="S46" s="188">
        <f>IF('Słownik PW'!$A$11=FALSE,"",_xlfn.IFERROR(INDEX('Tabela PW'!$AC:$AI,B46+1,1),""))</f>
        <v>81667</v>
      </c>
      <c r="T46" s="188"/>
      <c r="U46" s="188">
        <f>IF('Słownik PW'!$A$11=FALSE,"",_xlfn.IFERROR(INDEX('Tabela PW'!$AC:$AI,B46+1,2),""))</f>
        <v>136380</v>
      </c>
      <c r="V46" s="188"/>
      <c r="W46" s="188">
        <f>IF('Słownik PW'!$A$11=FALSE,"",_xlfn.IFERROR(INDEX('Tabela PW'!$AC:$AI,B46+1,3),""))</f>
        <v>118878</v>
      </c>
      <c r="X46" s="188"/>
      <c r="Y46" s="188">
        <f>IF('Słownik PW'!$A$11=FALSE,"",_xlfn.IFERROR(INDEX('Tabela PW'!$AC:$AI,B46+1,4),""))</f>
        <v>117505</v>
      </c>
      <c r="Z46" s="193"/>
      <c r="AA46" s="188">
        <f>IF('Słownik PW'!$A$11=FALSE,"",_xlfn.IFERROR(INDEX('Tabela PW'!$AC:$AI,B46+1,5),""))</f>
        <v>111455</v>
      </c>
      <c r="AB46" s="191"/>
      <c r="AC46" s="188">
        <f>IF('Słownik PW'!$A$11=FALSE,"",_xlfn.IFERROR(INDEX('Tabela PW'!$AC:$AI,B46+1,6),""))</f>
        <v>115922</v>
      </c>
      <c r="AD46" s="191"/>
      <c r="AE46" s="188">
        <f>IF('Słownik PW'!$A$11=FALSE,"",_xlfn.IFERROR(INDEX('Tabela PW'!$AC:$AI,B46+1,7),""))</f>
        <v>102807</v>
      </c>
      <c r="AF46" s="191"/>
      <c r="AG46" s="188">
        <f>IF('Słownik PW'!$A$11=FALSE,"",_xlfn.IFERROR(INDEX('Tabela PW'!$AC:$AJ,B46+1,8),""))</f>
        <v>89956</v>
      </c>
      <c r="AH46" s="191"/>
      <c r="AI46" s="188">
        <f>IF('Słownik PW'!$A$11=FALSE,"",_xlfn.IFERROR(INDEX('Tabela PW'!$AC:$AK,B46+1,9),""))</f>
        <v>98581</v>
      </c>
      <c r="AJ46" s="191"/>
      <c r="AK46" s="188">
        <f>IF('Słownik PW'!$A$11=FALSE,"",_xlfn.IFERROR(INDEX('Tabela PW'!$AC:$AL,B46+1,10),""))</f>
        <v>82095</v>
      </c>
    </row>
    <row r="47" spans="2:37" s="182" customFormat="1" ht="22.5" customHeight="1">
      <c r="B47" s="184">
        <f t="shared" si="0"/>
        <v>17</v>
      </c>
      <c r="D47" s="184" t="str">
        <f>_xlfn.IFERROR('Tabela PW'!Z18,"")</f>
        <v>Łupki i gliny pospolite, do celów budowlanych, z wyłączeniem bentonitu, gliny ogniotrwałej, iłów porowatych, kaolinu i glin kaolinowych; andaluzyt, cyjanit i sylimanit, mulit, ziemie szamotowe lub dynasowe</v>
      </c>
      <c r="E47" s="183"/>
      <c r="F47" s="186" t="str">
        <f>_xlfn.IFERROR('Tabela PW'!AA18,"")</f>
        <v>t</v>
      </c>
      <c r="G47" s="184"/>
      <c r="H47" s="188" t="str">
        <f>_xlfn.IFERROR(INDEX('Tabela PW'!AC:AL,B47+1,'Słownik PW'!$A$26-2009),"")</f>
        <v>x</v>
      </c>
      <c r="I47" s="188"/>
      <c r="J47" s="188">
        <f>_xlfn.IFERROR(IF('Słownik PW'!$A$26=2010,"",INDEX('Tabela PW'!AC:AL,B47+1,'Słownik PW'!$A$26-2010)),"")</f>
        <v>3316910</v>
      </c>
      <c r="K47" s="187"/>
      <c r="L47" s="189" t="str">
        <f>_xlfn.IFERROR(IF('Słownik PW'!$A$26=2010,"",H47/J47*100),"")</f>
        <v/>
      </c>
      <c r="M47" s="187"/>
      <c r="N47" s="399"/>
      <c r="O47" s="399"/>
      <c r="P47" s="187"/>
      <c r="Q47" s="189" t="str">
        <f>_xlfn.IFERROR(INDEX('Tabela PW'!AP:AP,B47+1,1),"")</f>
        <v>-</v>
      </c>
      <c r="R47" s="187"/>
      <c r="S47" s="188">
        <f>IF('Słownik PW'!$A$11=FALSE,"",_xlfn.IFERROR(INDEX('Tabela PW'!$AC:$AI,B47+1,1),""))</f>
        <v>2048262</v>
      </c>
      <c r="T47" s="188"/>
      <c r="U47" s="188">
        <f>IF('Słownik PW'!$A$11=FALSE,"",_xlfn.IFERROR(INDEX('Tabela PW'!$AC:$AI,B47+1,2),""))</f>
        <v>3053106</v>
      </c>
      <c r="V47" s="188"/>
      <c r="W47" s="188">
        <f>IF('Słownik PW'!$A$11=FALSE,"",_xlfn.IFERROR(INDEX('Tabela PW'!$AC:$AI,B47+1,3),""))</f>
        <v>3784581</v>
      </c>
      <c r="X47" s="188"/>
      <c r="Y47" s="188">
        <f>IF('Słownik PW'!$A$11=FALSE,"",_xlfn.IFERROR(INDEX('Tabela PW'!$AC:$AI,B47+1,4),""))</f>
        <v>2908096</v>
      </c>
      <c r="Z47" s="193"/>
      <c r="AA47" s="188">
        <f>IF('Słownik PW'!$A$11=FALSE,"",_xlfn.IFERROR(INDEX('Tabela PW'!$AC:$AI,B47+1,5),""))</f>
        <v>3703263</v>
      </c>
      <c r="AB47" s="191"/>
      <c r="AC47" s="188">
        <f>IF('Słownik PW'!$A$11=FALSE,"",_xlfn.IFERROR(INDEX('Tabela PW'!$AC:$AI,B47+1,6),""))</f>
        <v>5590598</v>
      </c>
      <c r="AD47" s="191"/>
      <c r="AE47" s="188">
        <f>IF('Słownik PW'!$A$11=FALSE,"",_xlfn.IFERROR(INDEX('Tabela PW'!$AC:$AI,B47+1,7),""))</f>
        <v>2070814</v>
      </c>
      <c r="AF47" s="191"/>
      <c r="AG47" s="188">
        <f>IF('Słownik PW'!$A$11=FALSE,"",_xlfn.IFERROR(INDEX('Tabela PW'!$AC:$AJ,B47+1,8),""))</f>
        <v>2033280</v>
      </c>
      <c r="AH47" s="191"/>
      <c r="AI47" s="188">
        <f>IF('Słownik PW'!$A$11=FALSE,"",_xlfn.IFERROR(INDEX('Tabela PW'!$AC:$AK,B47+1,9),""))</f>
        <v>3316910</v>
      </c>
      <c r="AJ47" s="191"/>
      <c r="AK47" s="188" t="str">
        <f>IF('Słownik PW'!$A$11=FALSE,"",_xlfn.IFERROR(INDEX('Tabela PW'!$AC:$AL,B47+1,10),""))</f>
        <v>x</v>
      </c>
    </row>
    <row r="48" spans="2:37" s="182" customFormat="1" ht="22.5" customHeight="1">
      <c r="B48" s="184">
        <f t="shared" si="0"/>
        <v>18</v>
      </c>
      <c r="D48" s="184" t="str">
        <f>_xlfn.IFERROR('Tabela PW'!Z19,"")</f>
        <v>Siarka rodzima z wydobycia</v>
      </c>
      <c r="E48" s="183"/>
      <c r="F48" s="186" t="str">
        <f>_xlfn.IFERROR('Tabela PW'!AA19,"")</f>
        <v>t</v>
      </c>
      <c r="G48" s="184"/>
      <c r="H48" s="188">
        <f>_xlfn.IFERROR(INDEX('Tabela PW'!AC:AL,B48+1,'Słownik PW'!$A$26-2009),"")</f>
        <v>555470</v>
      </c>
      <c r="I48" s="188"/>
      <c r="J48" s="188">
        <f>_xlfn.IFERROR(IF('Słownik PW'!$A$26=2010,"",INDEX('Tabela PW'!AC:AL,B48+1,'Słownik PW'!$A$26-2010)),"")</f>
        <v>617370</v>
      </c>
      <c r="K48" s="187"/>
      <c r="L48" s="189">
        <f>_xlfn.IFERROR(IF('Słownik PW'!$A$26=2010,"",H48/J48*100),"")</f>
        <v>89.97359768048334</v>
      </c>
      <c r="M48" s="187"/>
      <c r="N48" s="399"/>
      <c r="O48" s="399"/>
      <c r="P48" s="187"/>
      <c r="Q48" s="189">
        <f>_xlfn.IFERROR(INDEX('Tabela PW'!AP:AP,B48+1,1),"")</f>
        <v>107.44100580270792</v>
      </c>
      <c r="R48" s="187"/>
      <c r="S48" s="188">
        <f>IF('Słownik PW'!$A$11=FALSE,"",_xlfn.IFERROR(INDEX('Tabela PW'!$AC:$AI,B48+1,1),""))</f>
        <v>517000</v>
      </c>
      <c r="T48" s="188"/>
      <c r="U48" s="188">
        <f>IF('Słownik PW'!$A$11=FALSE,"",_xlfn.IFERROR(INDEX('Tabela PW'!$AC:$AI,B48+1,2),""))</f>
        <v>657400</v>
      </c>
      <c r="V48" s="188"/>
      <c r="W48" s="188">
        <f>IF('Słownik PW'!$A$11=FALSE,"",_xlfn.IFERROR(INDEX('Tabela PW'!$AC:$AI,B48+1,3),""))</f>
        <v>676800</v>
      </c>
      <c r="X48" s="188"/>
      <c r="Y48" s="188">
        <f>IF('Słownik PW'!$A$11=FALSE,"",_xlfn.IFERROR(INDEX('Tabela PW'!$AC:$AI,B48+1,4),""))</f>
        <v>526300</v>
      </c>
      <c r="Z48" s="193"/>
      <c r="AA48" s="188">
        <f>IF('Słownik PW'!$A$11=FALSE,"",_xlfn.IFERROR(INDEX('Tabela PW'!$AC:$AI,B48+1,5),""))</f>
        <v>605400</v>
      </c>
      <c r="AB48" s="191"/>
      <c r="AC48" s="188">
        <f>IF('Słownik PW'!$A$11=FALSE,"",_xlfn.IFERROR(INDEX('Tabela PW'!$AC:$AI,B48+1,6),""))</f>
        <v>627600</v>
      </c>
      <c r="AD48" s="191"/>
      <c r="AE48" s="188">
        <f>IF('Słownik PW'!$A$11=FALSE,"",_xlfn.IFERROR(INDEX('Tabela PW'!$AC:$AI,B48+1,7),""))</f>
        <v>620500</v>
      </c>
      <c r="AF48" s="191"/>
      <c r="AG48" s="188">
        <f>IF('Słownik PW'!$A$11=FALSE,"",_xlfn.IFERROR(INDEX('Tabela PW'!$AC:$AJ,B48+1,8),""))</f>
        <v>663000</v>
      </c>
      <c r="AH48" s="191"/>
      <c r="AI48" s="188">
        <f>IF('Słownik PW'!$A$11=FALSE,"",_xlfn.IFERROR(INDEX('Tabela PW'!$AC:$AK,B48+1,9),""))</f>
        <v>617370</v>
      </c>
      <c r="AJ48" s="191"/>
      <c r="AK48" s="188">
        <f>IF('Słownik PW'!$A$11=FALSE,"",_xlfn.IFERROR(INDEX('Tabela PW'!$AC:$AL,B48+1,10),""))</f>
        <v>555470</v>
      </c>
    </row>
    <row r="49" spans="2:37" s="182" customFormat="1" ht="22.5" customHeight="1">
      <c r="B49" s="184">
        <f t="shared" si="0"/>
        <v>19</v>
      </c>
      <c r="D49" s="184" t="str">
        <f>_xlfn.IFERROR('Tabela PW'!Z20,"")</f>
        <v>Siarka rodzima z wydobycia</v>
      </c>
      <c r="E49" s="183"/>
      <c r="F49" s="186" t="str">
        <f>_xlfn.IFERROR('Tabela PW'!AA20,"")</f>
        <v>t S</v>
      </c>
      <c r="G49" s="184"/>
      <c r="H49" s="188">
        <f>_xlfn.IFERROR(INDEX('Tabela PW'!AC:AL,B49+1,'Słownik PW'!$A$26-2009),"")</f>
        <v>555192</v>
      </c>
      <c r="I49" s="188"/>
      <c r="J49" s="188">
        <f>_xlfn.IFERROR(IF('Słownik PW'!$A$26=2010,"",INDEX('Tabela PW'!AC:AL,B49+1,'Słownik PW'!$A$26-2010)),"")</f>
        <v>617062</v>
      </c>
      <c r="K49" s="187"/>
      <c r="L49" s="189">
        <f>_xlfn.IFERROR(IF('Słownik PW'!$A$26=2010,"",H49/J49*100),"")</f>
        <v>89.97345485542782</v>
      </c>
      <c r="M49" s="187"/>
      <c r="N49" s="399"/>
      <c r="O49" s="399"/>
      <c r="P49" s="187"/>
      <c r="Q49" s="189">
        <f>_xlfn.IFERROR(INDEX('Tabela PW'!AP:AP,B49+1,1),"")</f>
        <v>107.44085055985386</v>
      </c>
      <c r="R49" s="187"/>
      <c r="S49" s="188">
        <f>IF('Słownik PW'!$A$11=FALSE,"",_xlfn.IFERROR(INDEX('Tabela PW'!$AC:$AI,B49+1,1),""))</f>
        <v>516742</v>
      </c>
      <c r="T49" s="188"/>
      <c r="U49" s="188">
        <f>IF('Słownik PW'!$A$11=FALSE,"",_xlfn.IFERROR(INDEX('Tabela PW'!$AC:$AI,B49+1,2),""))</f>
        <v>657071</v>
      </c>
      <c r="V49" s="188"/>
      <c r="W49" s="188">
        <f>IF('Słownik PW'!$A$11=FALSE,"",_xlfn.IFERROR(INDEX('Tabela PW'!$AC:$AI,B49+1,3),""))</f>
        <v>676462</v>
      </c>
      <c r="X49" s="188"/>
      <c r="Y49" s="188">
        <f>IF('Słownik PW'!$A$11=FALSE,"",_xlfn.IFERROR(INDEX('Tabela PW'!$AC:$AI,B49+1,4),""))</f>
        <v>526037</v>
      </c>
      <c r="Z49" s="193"/>
      <c r="AA49" s="188">
        <f>IF('Słownik PW'!$A$11=FALSE,"",_xlfn.IFERROR(INDEX('Tabela PW'!$AC:$AI,B49+1,5),""))</f>
        <v>605097</v>
      </c>
      <c r="AB49" s="191"/>
      <c r="AC49" s="188">
        <f>IF('Słownik PW'!$A$11=FALSE,"",_xlfn.IFERROR(INDEX('Tabela PW'!$AC:$AI,B49+1,6),""))</f>
        <v>627286</v>
      </c>
      <c r="AD49" s="191"/>
      <c r="AE49" s="188">
        <f>IF('Słownik PW'!$A$11=FALSE,"",_xlfn.IFERROR(INDEX('Tabela PW'!$AC:$AI,B49+1,7),""))</f>
        <v>620190</v>
      </c>
      <c r="AF49" s="191"/>
      <c r="AG49" s="188">
        <f>IF('Słownik PW'!$A$11=FALSE,"",_xlfn.IFERROR(INDEX('Tabela PW'!$AC:$AJ,B49+1,8),""))</f>
        <v>662669</v>
      </c>
      <c r="AH49" s="191"/>
      <c r="AI49" s="188">
        <f>IF('Słownik PW'!$A$11=FALSE,"",_xlfn.IFERROR(INDEX('Tabela PW'!$AC:$AK,B49+1,9),""))</f>
        <v>617062</v>
      </c>
      <c r="AJ49" s="191"/>
      <c r="AK49" s="188">
        <f>IF('Słownik PW'!$A$11=FALSE,"",_xlfn.IFERROR(INDEX('Tabela PW'!$AC:$AL,B49+1,10),""))</f>
        <v>555192</v>
      </c>
    </row>
    <row r="50" spans="2:37" s="182" customFormat="1" ht="22.5" customHeight="1">
      <c r="B50" s="184">
        <f t="shared" si="0"/>
        <v>20</v>
      </c>
      <c r="D50" s="184" t="str">
        <f>_xlfn.IFERROR('Tabela PW'!Z21,"")</f>
        <v>Torf z wyłączeniem brykietów i podobnych paliw stałych</v>
      </c>
      <c r="E50" s="183"/>
      <c r="F50" s="186" t="str">
        <f>_xlfn.IFERROR('Tabela PW'!AA21,"")</f>
        <v>t</v>
      </c>
      <c r="G50" s="184"/>
      <c r="H50" s="188">
        <f>_xlfn.IFERROR(INDEX('Tabela PW'!AC:AL,B50+1,'Słownik PW'!$A$26-2009),"")</f>
        <v>970164</v>
      </c>
      <c r="I50" s="188"/>
      <c r="J50" s="188">
        <f>_xlfn.IFERROR(IF('Słownik PW'!$A$26=2010,"",INDEX('Tabela PW'!AC:AL,B50+1,'Słownik PW'!$A$26-2010)),"")</f>
        <v>836905</v>
      </c>
      <c r="K50" s="187"/>
      <c r="L50" s="189">
        <f>_xlfn.IFERROR(IF('Słownik PW'!$A$26=2010,"",H50/J50*100),"")</f>
        <v>115.92283473034574</v>
      </c>
      <c r="M50" s="187"/>
      <c r="N50" s="399"/>
      <c r="O50" s="399"/>
      <c r="P50" s="187"/>
      <c r="Q50" s="189">
        <f>_xlfn.IFERROR(INDEX('Tabela PW'!AP:AP,B50+1,1),"")</f>
        <v>144.45885479872243</v>
      </c>
      <c r="R50" s="187"/>
      <c r="S50" s="188">
        <f>IF('Słownik PW'!$A$11=FALSE,"",_xlfn.IFERROR(INDEX('Tabela PW'!$AC:$AI,B50+1,1),""))</f>
        <v>671585</v>
      </c>
      <c r="T50" s="188"/>
      <c r="U50" s="188">
        <f>IF('Słownik PW'!$A$11=FALSE,"",_xlfn.IFERROR(INDEX('Tabela PW'!$AC:$AI,B50+1,2),""))</f>
        <v>745972</v>
      </c>
      <c r="V50" s="188"/>
      <c r="W50" s="188">
        <f>IF('Słownik PW'!$A$11=FALSE,"",_xlfn.IFERROR(INDEX('Tabela PW'!$AC:$AI,B50+1,3),""))</f>
        <v>761537</v>
      </c>
      <c r="X50" s="188"/>
      <c r="Y50" s="188">
        <f>IF('Słownik PW'!$A$11=FALSE,"",_xlfn.IFERROR(INDEX('Tabela PW'!$AC:$AI,B50+1,4),""))</f>
        <v>817758</v>
      </c>
      <c r="Z50" s="193"/>
      <c r="AA50" s="188">
        <f>IF('Słownik PW'!$A$11=FALSE,"",_xlfn.IFERROR(INDEX('Tabela PW'!$AC:$AI,B50+1,5),""))</f>
        <v>829382</v>
      </c>
      <c r="AB50" s="191"/>
      <c r="AC50" s="188">
        <f>IF('Słownik PW'!$A$11=FALSE,"",_xlfn.IFERROR(INDEX('Tabela PW'!$AC:$AI,B50+1,6),""))</f>
        <v>876816</v>
      </c>
      <c r="AD50" s="191"/>
      <c r="AE50" s="188">
        <f>IF('Słownik PW'!$A$11=FALSE,"",_xlfn.IFERROR(INDEX('Tabela PW'!$AC:$AI,B50+1,7),""))</f>
        <v>906954</v>
      </c>
      <c r="AF50" s="191"/>
      <c r="AG50" s="188">
        <f>IF('Słownik PW'!$A$11=FALSE,"",_xlfn.IFERROR(INDEX('Tabela PW'!$AC:$AJ,B50+1,8),""))</f>
        <v>924618</v>
      </c>
      <c r="AH50" s="191"/>
      <c r="AI50" s="188">
        <f>IF('Słownik PW'!$A$11=FALSE,"",_xlfn.IFERROR(INDEX('Tabela PW'!$AC:$AK,B50+1,9),""))</f>
        <v>836905</v>
      </c>
      <c r="AJ50" s="191"/>
      <c r="AK50" s="188">
        <f>IF('Słownik PW'!$A$11=FALSE,"",_xlfn.IFERROR(INDEX('Tabela PW'!$AC:$AL,B50+1,10),""))</f>
        <v>970164</v>
      </c>
    </row>
    <row r="51" spans="2:37" s="182" customFormat="1" ht="22.5" customHeight="1">
      <c r="B51" s="184">
        <f t="shared" si="0"/>
        <v>21</v>
      </c>
      <c r="D51" s="184" t="str">
        <f>_xlfn.IFERROR('Tabela PW'!Z22,"")</f>
        <v>Sól ogółem (z wyłączeniem soli do spożycia)</v>
      </c>
      <c r="E51" s="183"/>
      <c r="F51" s="186" t="str">
        <f>_xlfn.IFERROR('Tabela PW'!AA22,"")</f>
        <v>t</v>
      </c>
      <c r="G51" s="184"/>
      <c r="H51" s="188">
        <f>_xlfn.IFERROR(INDEX('Tabela PW'!AC:AL,B51+1,'Słownik PW'!$A$26-2009),"")</f>
        <v>4155686</v>
      </c>
      <c r="I51" s="188"/>
      <c r="J51" s="188">
        <f>_xlfn.IFERROR(IF('Słownik PW'!$A$26=2010,"",INDEX('Tabela PW'!AC:AL,B51+1,'Słownik PW'!$A$26-2010)),"")</f>
        <v>4279345</v>
      </c>
      <c r="K51" s="187"/>
      <c r="L51" s="189">
        <f>_xlfn.IFERROR(IF('Słownik PW'!$A$26=2010,"",H51/J51*100),"")</f>
        <v>97.11032880031874</v>
      </c>
      <c r="M51" s="187"/>
      <c r="N51" s="399"/>
      <c r="O51" s="399"/>
      <c r="P51" s="187"/>
      <c r="Q51" s="189">
        <f>_xlfn.IFERROR(INDEX('Tabela PW'!AP:AP,B51+1,1),"")</f>
        <v>97.50800818040439</v>
      </c>
      <c r="R51" s="187"/>
      <c r="S51" s="188">
        <f>IF('Słownik PW'!$A$11=FALSE,"",_xlfn.IFERROR(INDEX('Tabela PW'!$AC:$AI,B51+1,1),""))</f>
        <v>4261892</v>
      </c>
      <c r="T51" s="188"/>
      <c r="U51" s="188">
        <f>IF('Słownik PW'!$A$11=FALSE,"",_xlfn.IFERROR(INDEX('Tabela PW'!$AC:$AI,B51+1,2),""))</f>
        <v>4414780</v>
      </c>
      <c r="V51" s="188"/>
      <c r="W51" s="188">
        <f>IF('Słownik PW'!$A$11=FALSE,"",_xlfn.IFERROR(INDEX('Tabela PW'!$AC:$AI,B51+1,3),""))</f>
        <v>4076333</v>
      </c>
      <c r="X51" s="188"/>
      <c r="Y51" s="188">
        <f>IF('Słownik PW'!$A$11=FALSE,"",_xlfn.IFERROR(INDEX('Tabela PW'!$AC:$AI,B51+1,4),""))</f>
        <v>4545050</v>
      </c>
      <c r="Z51" s="193"/>
      <c r="AA51" s="188">
        <f>IF('Słownik PW'!$A$11=FALSE,"",_xlfn.IFERROR(INDEX('Tabela PW'!$AC:$AI,B51+1,5),""))</f>
        <v>3927600</v>
      </c>
      <c r="AB51" s="191"/>
      <c r="AC51" s="188">
        <f>IF('Słownik PW'!$A$11=FALSE,"",_xlfn.IFERROR(INDEX('Tabela PW'!$AC:$AI,B51+1,6),""))</f>
        <v>3924645</v>
      </c>
      <c r="AD51" s="191"/>
      <c r="AE51" s="188">
        <f>IF('Słownik PW'!$A$11=FALSE,"",_xlfn.IFERROR(INDEX('Tabela PW'!$AC:$AI,B51+1,7),""))</f>
        <v>4101956</v>
      </c>
      <c r="AF51" s="191"/>
      <c r="AG51" s="188">
        <f>IF('Słownik PW'!$A$11=FALSE,"",_xlfn.IFERROR(INDEX('Tabela PW'!$AC:$AJ,B51+1,8),""))</f>
        <v>4419476</v>
      </c>
      <c r="AH51" s="191"/>
      <c r="AI51" s="188">
        <f>IF('Słownik PW'!$A$11=FALSE,"",_xlfn.IFERROR(INDEX('Tabela PW'!$AC:$AK,B51+1,9),""))</f>
        <v>4279345</v>
      </c>
      <c r="AJ51" s="191"/>
      <c r="AK51" s="188">
        <f>IF('Słownik PW'!$A$11=FALSE,"",_xlfn.IFERROR(INDEX('Tabela PW'!$AC:$AL,B51+1,10),""))</f>
        <v>4155686</v>
      </c>
    </row>
    <row r="52" spans="2:37" s="182" customFormat="1" ht="22.5" customHeight="1">
      <c r="B52" s="184">
        <f t="shared" si="0"/>
        <v>22</v>
      </c>
      <c r="D52" s="184" t="str">
        <f>_xlfn.IFERROR('Tabela PW'!Z23,"")</f>
        <v>Sól kamienna (z wyłączeniem soli do spożycia)</v>
      </c>
      <c r="E52" s="183"/>
      <c r="F52" s="186" t="str">
        <f>_xlfn.IFERROR('Tabela PW'!AA23,"")</f>
        <v>t</v>
      </c>
      <c r="G52" s="184"/>
      <c r="H52" s="188">
        <f>_xlfn.IFERROR(INDEX('Tabela PW'!AC:AL,B52+1,'Słownik PW'!$A$26-2009),"")</f>
        <v>911644</v>
      </c>
      <c r="I52" s="188"/>
      <c r="J52" s="188">
        <f>_xlfn.IFERROR(IF('Słownik PW'!$A$26=2010,"",INDEX('Tabela PW'!AC:AL,B52+1,'Słownik PW'!$A$26-2010)),"")</f>
        <v>853210</v>
      </c>
      <c r="K52" s="187"/>
      <c r="L52" s="189">
        <f>_xlfn.IFERROR(IF('Słownik PW'!$A$26=2010,"",H52/J52*100),"")</f>
        <v>106.84872422967382</v>
      </c>
      <c r="M52" s="187"/>
      <c r="N52" s="399"/>
      <c r="O52" s="399"/>
      <c r="P52" s="187"/>
      <c r="Q52" s="189">
        <f>_xlfn.IFERROR(INDEX('Tabela PW'!AP:AP,B52+1,1),"")</f>
        <v>74.6182506318836</v>
      </c>
      <c r="R52" s="187"/>
      <c r="S52" s="188">
        <f>IF('Słownik PW'!$A$11=FALSE,"",_xlfn.IFERROR(INDEX('Tabela PW'!$AC:$AI,B52+1,1),""))</f>
        <v>1221744</v>
      </c>
      <c r="T52" s="188"/>
      <c r="U52" s="188">
        <f>IF('Słownik PW'!$A$11=FALSE,"",_xlfn.IFERROR(INDEX('Tabela PW'!$AC:$AI,B52+1,2),""))</f>
        <v>1233839</v>
      </c>
      <c r="V52" s="188"/>
      <c r="W52" s="188">
        <f>IF('Słownik PW'!$A$11=FALSE,"",_xlfn.IFERROR(INDEX('Tabela PW'!$AC:$AI,B52+1,3),""))</f>
        <v>782528</v>
      </c>
      <c r="X52" s="188"/>
      <c r="Y52" s="188">
        <f>IF('Słownik PW'!$A$11=FALSE,"",_xlfn.IFERROR(INDEX('Tabela PW'!$AC:$AI,B52+1,4),""))</f>
        <v>1310483</v>
      </c>
      <c r="Z52" s="193"/>
      <c r="AA52" s="188">
        <f>IF('Słownik PW'!$A$11=FALSE,"",_xlfn.IFERROR(INDEX('Tabela PW'!$AC:$AI,B52+1,5),""))</f>
        <v>763138</v>
      </c>
      <c r="AB52" s="191"/>
      <c r="AC52" s="188">
        <f>IF('Słownik PW'!$A$11=FALSE,"",_xlfn.IFERROR(INDEX('Tabela PW'!$AC:$AI,B52+1,6),""))</f>
        <v>639735</v>
      </c>
      <c r="AD52" s="191"/>
      <c r="AE52" s="188">
        <f>IF('Słownik PW'!$A$11=FALSE,"",_xlfn.IFERROR(INDEX('Tabela PW'!$AC:$AI,B52+1,7),""))</f>
        <v>698607</v>
      </c>
      <c r="AF52" s="191"/>
      <c r="AG52" s="188">
        <f>IF('Słownik PW'!$A$11=FALSE,"",_xlfn.IFERROR(INDEX('Tabela PW'!$AC:$AJ,B52+1,8),""))</f>
        <v>983863</v>
      </c>
      <c r="AH52" s="191"/>
      <c r="AI52" s="188">
        <f>IF('Słownik PW'!$A$11=FALSE,"",_xlfn.IFERROR(INDEX('Tabela PW'!$AC:$AK,B52+1,9),""))</f>
        <v>853210</v>
      </c>
      <c r="AJ52" s="191"/>
      <c r="AK52" s="188">
        <f>IF('Słownik PW'!$A$11=FALSE,"",_xlfn.IFERROR(INDEX('Tabela PW'!$AC:$AL,B52+1,10),""))</f>
        <v>911644</v>
      </c>
    </row>
    <row r="53" spans="2:37" s="182" customFormat="1" ht="22.5" customHeight="1">
      <c r="B53" s="184">
        <f t="shared" si="0"/>
        <v>23</v>
      </c>
      <c r="D53" s="184" t="str">
        <f>_xlfn.IFERROR('Tabela PW'!Z24,"")</f>
        <v>Sól warzona (z wyłączeniem soli do spożycia)</v>
      </c>
      <c r="E53" s="183"/>
      <c r="F53" s="186" t="str">
        <f>_xlfn.IFERROR('Tabela PW'!AA24,"")</f>
        <v>t</v>
      </c>
      <c r="G53" s="184"/>
      <c r="H53" s="188">
        <f>_xlfn.IFERROR(INDEX('Tabela PW'!AC:AL,B53+1,'Słownik PW'!$A$26-2009),"")</f>
        <v>360884</v>
      </c>
      <c r="I53" s="188"/>
      <c r="J53" s="188">
        <f>_xlfn.IFERROR(IF('Słownik PW'!$A$26=2010,"",INDEX('Tabela PW'!AC:AL,B53+1,'Słownik PW'!$A$26-2010)),"")</f>
        <v>383951</v>
      </c>
      <c r="K53" s="187"/>
      <c r="L53" s="189">
        <f>_xlfn.IFERROR(IF('Słownik PW'!$A$26=2010,"",H53/J53*100),"")</f>
        <v>93.9922021299593</v>
      </c>
      <c r="M53" s="187"/>
      <c r="N53" s="399"/>
      <c r="O53" s="399"/>
      <c r="P53" s="187"/>
      <c r="Q53" s="189">
        <f>_xlfn.IFERROR(INDEX('Tabela PW'!AP:AP,B53+1,1),"")</f>
        <v>87.95570092273496</v>
      </c>
      <c r="R53" s="187"/>
      <c r="S53" s="188">
        <f>IF('Słownik PW'!$A$11=FALSE,"",_xlfn.IFERROR(INDEX('Tabela PW'!$AC:$AI,B53+1,1),""))</f>
        <v>410302</v>
      </c>
      <c r="T53" s="188"/>
      <c r="U53" s="188">
        <f>IF('Słownik PW'!$A$11=FALSE,"",_xlfn.IFERROR(INDEX('Tabela PW'!$AC:$AI,B53+1,2),""))</f>
        <v>414585</v>
      </c>
      <c r="V53" s="188"/>
      <c r="W53" s="188">
        <f>IF('Słownik PW'!$A$11=FALSE,"",_xlfn.IFERROR(INDEX('Tabela PW'!$AC:$AI,B53+1,3),""))</f>
        <v>402400</v>
      </c>
      <c r="X53" s="188"/>
      <c r="Y53" s="188">
        <f>IF('Słownik PW'!$A$11=FALSE,"",_xlfn.IFERROR(INDEX('Tabela PW'!$AC:$AI,B53+1,4),""))</f>
        <v>420953</v>
      </c>
      <c r="Z53" s="193"/>
      <c r="AA53" s="188">
        <f>IF('Słownik PW'!$A$11=FALSE,"",_xlfn.IFERROR(INDEX('Tabela PW'!$AC:$AI,B53+1,5),""))</f>
        <v>395039</v>
      </c>
      <c r="AB53" s="191"/>
      <c r="AC53" s="188">
        <f>IF('Słownik PW'!$A$11=FALSE,"",_xlfn.IFERROR(INDEX('Tabela PW'!$AC:$AI,B53+1,6),""))</f>
        <v>406676</v>
      </c>
      <c r="AD53" s="191"/>
      <c r="AE53" s="188">
        <f>IF('Słownik PW'!$A$11=FALSE,"",_xlfn.IFERROR(INDEX('Tabela PW'!$AC:$AI,B53+1,7),""))</f>
        <v>380076</v>
      </c>
      <c r="AF53" s="191"/>
      <c r="AG53" s="188">
        <f>IF('Słownik PW'!$A$11=FALSE,"",_xlfn.IFERROR(INDEX('Tabela PW'!$AC:$AJ,B53+1,8),""))</f>
        <v>348606</v>
      </c>
      <c r="AH53" s="191"/>
      <c r="AI53" s="188">
        <f>IF('Słownik PW'!$A$11=FALSE,"",_xlfn.IFERROR(INDEX('Tabela PW'!$AC:$AK,B53+1,9),""))</f>
        <v>383951</v>
      </c>
      <c r="AJ53" s="191"/>
      <c r="AK53" s="188">
        <f>IF('Słownik PW'!$A$11=FALSE,"",_xlfn.IFERROR(INDEX('Tabela PW'!$AC:$AL,B53+1,10),""))</f>
        <v>360884</v>
      </c>
    </row>
    <row r="54" spans="2:37" s="182" customFormat="1" ht="22.5" customHeight="1">
      <c r="B54" s="184">
        <f t="shared" si="0"/>
        <v>24</v>
      </c>
      <c r="D54" s="184" t="str">
        <f>_xlfn.IFERROR('Tabela PW'!Z25,"")</f>
        <v>Sól w solance</v>
      </c>
      <c r="E54" s="183"/>
      <c r="F54" s="186" t="str">
        <f>_xlfn.IFERROR('Tabela PW'!AA25,"")</f>
        <v>t NaCl</v>
      </c>
      <c r="G54" s="184"/>
      <c r="H54" s="188">
        <f>_xlfn.IFERROR(INDEX('Tabela PW'!AC:AL,B54+1,'Słownik PW'!$A$26-2009),"")</f>
        <v>2928782</v>
      </c>
      <c r="I54" s="188"/>
      <c r="J54" s="188">
        <f>_xlfn.IFERROR(IF('Słownik PW'!$A$26=2010,"",INDEX('Tabela PW'!AC:AL,B54+1,'Słownik PW'!$A$26-2010)),"")</f>
        <v>2928781</v>
      </c>
      <c r="K54" s="187"/>
      <c r="L54" s="189">
        <f>_xlfn.IFERROR(IF('Słownik PW'!$A$26=2010,"",H54/J54*100),"")</f>
        <v>100.00003414389809</v>
      </c>
      <c r="M54" s="187"/>
      <c r="N54" s="399"/>
      <c r="O54" s="399"/>
      <c r="P54" s="187"/>
      <c r="Q54" s="189">
        <f>_xlfn.IFERROR(INDEX('Tabela PW'!AP:AP,B54+1,1),"")</f>
        <v>118.84539737043609</v>
      </c>
      <c r="R54" s="187"/>
      <c r="S54" s="188">
        <f>IF('Słownik PW'!$A$11=FALSE,"",_xlfn.IFERROR(INDEX('Tabela PW'!$AC:$AI,B54+1,1),""))</f>
        <v>2464363</v>
      </c>
      <c r="T54" s="188"/>
      <c r="U54" s="188">
        <f>IF('Słownik PW'!$A$11=FALSE,"",_xlfn.IFERROR(INDEX('Tabela PW'!$AC:$AI,B54+1,2),""))</f>
        <v>2633277</v>
      </c>
      <c r="V54" s="188"/>
      <c r="W54" s="188">
        <f>IF('Słownik PW'!$A$11=FALSE,"",_xlfn.IFERROR(INDEX('Tabela PW'!$AC:$AI,B54+1,3),""))</f>
        <v>2732205</v>
      </c>
      <c r="X54" s="188"/>
      <c r="Y54" s="188">
        <f>IF('Słownik PW'!$A$11=FALSE,"",_xlfn.IFERROR(INDEX('Tabela PW'!$AC:$AI,B54+1,4),""))</f>
        <v>2735459</v>
      </c>
      <c r="Z54" s="193"/>
      <c r="AA54" s="188">
        <f>IF('Słownik PW'!$A$11=FALSE,"",_xlfn.IFERROR(INDEX('Tabela PW'!$AC:$AI,B54+1,5),""))</f>
        <v>2705091</v>
      </c>
      <c r="AB54" s="191"/>
      <c r="AC54" s="188">
        <f>IF('Słownik PW'!$A$11=FALSE,"",_xlfn.IFERROR(INDEX('Tabela PW'!$AC:$AI,B54+1,6),""))</f>
        <v>2797703</v>
      </c>
      <c r="AD54" s="191"/>
      <c r="AE54" s="188">
        <f>IF('Słownik PW'!$A$11=FALSE,"",_xlfn.IFERROR(INDEX('Tabela PW'!$AC:$AI,B54+1,7),""))</f>
        <v>2964690</v>
      </c>
      <c r="AF54" s="191"/>
      <c r="AG54" s="188">
        <f>IF('Słownik PW'!$A$11=FALSE,"",_xlfn.IFERROR(INDEX('Tabela PW'!$AC:$AJ,B54+1,8),""))</f>
        <v>2988847</v>
      </c>
      <c r="AH54" s="191"/>
      <c r="AI54" s="188">
        <f>IF('Słownik PW'!$A$11=FALSE,"",_xlfn.IFERROR(INDEX('Tabela PW'!$AC:$AK,B54+1,9),""))</f>
        <v>2928781</v>
      </c>
      <c r="AJ54" s="191"/>
      <c r="AK54" s="188">
        <f>IF('Słownik PW'!$A$11=FALSE,"",_xlfn.IFERROR(INDEX('Tabela PW'!$AC:$AL,B54+1,10),""))</f>
        <v>2928782</v>
      </c>
    </row>
    <row r="55" spans="2:37" s="182" customFormat="1" ht="22.5" customHeight="1">
      <c r="B55" s="184">
        <f t="shared" si="0"/>
        <v>25</v>
      </c>
      <c r="D55" s="184" t="str">
        <f>_xlfn.IFERROR('Tabela PW'!Z26,"")</f>
        <v>Kwarc, z wyłączeniem piasku naturalnego</v>
      </c>
      <c r="E55" s="183"/>
      <c r="F55" s="186" t="str">
        <f>_xlfn.IFERROR('Tabela PW'!AA26,"")</f>
        <v>t</v>
      </c>
      <c r="G55" s="184"/>
      <c r="H55" s="188">
        <f>_xlfn.IFERROR(INDEX('Tabela PW'!AC:AL,B55+1,'Słownik PW'!$A$26-2009),"")</f>
        <v>14365</v>
      </c>
      <c r="I55" s="188"/>
      <c r="J55" s="188">
        <f>_xlfn.IFERROR(IF('Słownik PW'!$A$26=2010,"",INDEX('Tabela PW'!AC:AL,B55+1,'Słownik PW'!$A$26-2010)),"")</f>
        <v>8771</v>
      </c>
      <c r="K55" s="187"/>
      <c r="L55" s="189">
        <f>_xlfn.IFERROR(IF('Słownik PW'!$A$26=2010,"",H55/J55*100),"")</f>
        <v>163.77836050621366</v>
      </c>
      <c r="M55" s="187"/>
      <c r="N55" s="399"/>
      <c r="O55" s="399"/>
      <c r="P55" s="187"/>
      <c r="Q55" s="189">
        <f>_xlfn.IFERROR(INDEX('Tabela PW'!AP:AP,B55+1,1),"")</f>
        <v>256.3805104408352</v>
      </c>
      <c r="R55" s="187"/>
      <c r="S55" s="188">
        <f>IF('Słownik PW'!$A$11=FALSE,"",_xlfn.IFERROR(INDEX('Tabela PW'!$AC:$AI,B55+1,1),""))</f>
        <v>5603</v>
      </c>
      <c r="T55" s="188"/>
      <c r="U55" s="188">
        <f>IF('Słownik PW'!$A$11=FALSE,"",_xlfn.IFERROR(INDEX('Tabela PW'!$AC:$AI,B55+1,2),""))</f>
        <v>6099</v>
      </c>
      <c r="V55" s="188"/>
      <c r="W55" s="188">
        <f>IF('Słownik PW'!$A$11=FALSE,"",_xlfn.IFERROR(INDEX('Tabela PW'!$AC:$AI,B55+1,3),""))</f>
        <v>5367</v>
      </c>
      <c r="X55" s="188"/>
      <c r="Y55" s="188">
        <f>IF('Słownik PW'!$A$11=FALSE,"",_xlfn.IFERROR(INDEX('Tabela PW'!$AC:$AI,B55+1,4),""))</f>
        <v>5769</v>
      </c>
      <c r="Z55" s="193"/>
      <c r="AA55" s="188">
        <f>IF('Słownik PW'!$A$11=FALSE,"",_xlfn.IFERROR(INDEX('Tabela PW'!$AC:$AI,B55+1,5),""))</f>
        <v>11340</v>
      </c>
      <c r="AB55" s="191"/>
      <c r="AC55" s="188">
        <f>IF('Słownik PW'!$A$11=FALSE,"",_xlfn.IFERROR(INDEX('Tabela PW'!$AC:$AI,B55+1,6),""))</f>
        <v>14692</v>
      </c>
      <c r="AD55" s="191"/>
      <c r="AE55" s="188">
        <f>IF('Słownik PW'!$A$11=FALSE,"",_xlfn.IFERROR(INDEX('Tabela PW'!$AC:$AI,B55+1,7),""))</f>
        <v>7572</v>
      </c>
      <c r="AF55" s="191"/>
      <c r="AG55" s="188">
        <f>IF('Słownik PW'!$A$11=FALSE,"",_xlfn.IFERROR(INDEX('Tabela PW'!$AC:$AJ,B55+1,8),""))</f>
        <v>7956</v>
      </c>
      <c r="AH55" s="191"/>
      <c r="AI55" s="188">
        <f>IF('Słownik PW'!$A$11=FALSE,"",_xlfn.IFERROR(INDEX('Tabela PW'!$AC:$AK,B55+1,9),""))</f>
        <v>8771</v>
      </c>
      <c r="AJ55" s="191"/>
      <c r="AK55" s="188">
        <f>IF('Słownik PW'!$A$11=FALSE,"",_xlfn.IFERROR(INDEX('Tabela PW'!$AC:$AL,B55+1,10),""))</f>
        <v>14365</v>
      </c>
    </row>
    <row r="56" spans="2:37" s="182" customFormat="1" ht="22.5" customHeight="1">
      <c r="B56" s="184" t="str">
        <f t="shared" si="0"/>
        <v/>
      </c>
      <c r="D56" s="184" t="str">
        <f>_xlfn.IFERROR('Tabela PW'!Z27,"")</f>
        <v/>
      </c>
      <c r="E56" s="183"/>
      <c r="F56" s="186" t="str">
        <f>_xlfn.IFERROR('Tabela PW'!AA27,"")</f>
        <v/>
      </c>
      <c r="G56" s="184"/>
      <c r="H56" s="188" t="str">
        <f>_xlfn.IFERROR(INDEX('Tabela PW'!AC:AL,B56+1,'Słownik PW'!$A$26-2009),"")</f>
        <v/>
      </c>
      <c r="I56" s="188"/>
      <c r="J56" s="188" t="str">
        <f>_xlfn.IFERROR(IF('Słownik PW'!$A$26=2010,"",INDEX('Tabela PW'!AC:AL,B56+1,'Słownik PW'!$A$26-2010)),"")</f>
        <v/>
      </c>
      <c r="K56" s="187"/>
      <c r="L56" s="189" t="str">
        <f>_xlfn.IFERROR(IF('Słownik PW'!$A$26=2010,"",H56/J56*100),"")</f>
        <v/>
      </c>
      <c r="M56" s="187"/>
      <c r="N56" s="399"/>
      <c r="O56" s="399"/>
      <c r="P56" s="187"/>
      <c r="Q56" s="189" t="str">
        <f>_xlfn.IFERROR(INDEX('Tabela PW'!AP:AP,B56+1,1),"")</f>
        <v/>
      </c>
      <c r="R56" s="187"/>
      <c r="S56" s="188" t="str">
        <f>IF('Słownik PW'!$A$11=FALSE,"",_xlfn.IFERROR(INDEX('Tabela PW'!$AC:$AI,B56+1,1),""))</f>
        <v/>
      </c>
      <c r="T56" s="188"/>
      <c r="U56" s="188" t="str">
        <f>IF('Słownik PW'!$A$11=FALSE,"",_xlfn.IFERROR(INDEX('Tabela PW'!$AC:$AI,B56+1,2),""))</f>
        <v/>
      </c>
      <c r="V56" s="188"/>
      <c r="W56" s="188" t="str">
        <f>IF('Słownik PW'!$A$11=FALSE,"",_xlfn.IFERROR(INDEX('Tabela PW'!$AC:$AI,B56+1,3),""))</f>
        <v/>
      </c>
      <c r="X56" s="188"/>
      <c r="Y56" s="188" t="str">
        <f>IF('Słownik PW'!$A$11=FALSE,"",_xlfn.IFERROR(INDEX('Tabela PW'!$AC:$AI,B56+1,4),""))</f>
        <v/>
      </c>
      <c r="Z56" s="193"/>
      <c r="AA56" s="188" t="str">
        <f>IF('Słownik PW'!$A$11=FALSE,"",_xlfn.IFERROR(INDEX('Tabela PW'!$AC:$AI,B56+1,5),""))</f>
        <v/>
      </c>
      <c r="AB56" s="191"/>
      <c r="AC56" s="188" t="str">
        <f>IF('Słownik PW'!$A$11=FALSE,"",_xlfn.IFERROR(INDEX('Tabela PW'!$AC:$AI,B56+1,6),""))</f>
        <v/>
      </c>
      <c r="AD56" s="191"/>
      <c r="AE56" s="188" t="str">
        <f>IF('Słownik PW'!$A$11=FALSE,"",_xlfn.IFERROR(INDEX('Tabela PW'!$AC:$AI,B56+1,7),""))</f>
        <v/>
      </c>
      <c r="AF56" s="191"/>
      <c r="AG56" s="188" t="str">
        <f>IF('Słownik PW'!$A$11=FALSE,"",_xlfn.IFERROR(INDEX('Tabela PW'!$AC:$AJ,B56+1,8),""))</f>
        <v/>
      </c>
      <c r="AH56" s="191"/>
      <c r="AI56" s="188" t="str">
        <f>IF('Słownik PW'!$A$11=FALSE,"",_xlfn.IFERROR(INDEX('Tabela PW'!$AC:$AK,B56+1,9),""))</f>
        <v/>
      </c>
      <c r="AJ56" s="191"/>
      <c r="AK56" s="188" t="str">
        <f>IF('Słownik PW'!$A$11=FALSE,"",_xlfn.IFERROR(INDEX('Tabela PW'!$AC:$AL,B56+1,10),""))</f>
        <v/>
      </c>
    </row>
    <row r="57" spans="2:37" s="182" customFormat="1" ht="22.5" customHeight="1">
      <c r="B57" s="184" t="str">
        <f t="shared" si="0"/>
        <v/>
      </c>
      <c r="D57" s="184" t="str">
        <f>_xlfn.IFERROR('Tabela PW'!Z28,"")</f>
        <v/>
      </c>
      <c r="E57" s="183"/>
      <c r="F57" s="186" t="str">
        <f>_xlfn.IFERROR('Tabela PW'!AA28,"")</f>
        <v/>
      </c>
      <c r="G57" s="184"/>
      <c r="H57" s="188" t="str">
        <f>_xlfn.IFERROR(INDEX('Tabela PW'!AC:AL,B57+1,'Słownik PW'!$A$26-2009),"")</f>
        <v/>
      </c>
      <c r="I57" s="188"/>
      <c r="J57" s="188" t="str">
        <f>_xlfn.IFERROR(IF('Słownik PW'!$A$26=2010,"",INDEX('Tabela PW'!AC:AL,B57+1,'Słownik PW'!$A$26-2010)),"")</f>
        <v/>
      </c>
      <c r="K57" s="187"/>
      <c r="L57" s="189" t="str">
        <f>_xlfn.IFERROR(IF('Słownik PW'!$A$26=2010,"",H57/J57*100),"")</f>
        <v/>
      </c>
      <c r="M57" s="187"/>
      <c r="N57" s="399"/>
      <c r="O57" s="399"/>
      <c r="P57" s="187"/>
      <c r="Q57" s="189" t="str">
        <f>_xlfn.IFERROR(INDEX('Tabela PW'!AP:AP,B57+1,1),"")</f>
        <v/>
      </c>
      <c r="R57" s="187"/>
      <c r="S57" s="188" t="str">
        <f>IF('Słownik PW'!$A$11=FALSE,"",_xlfn.IFERROR(INDEX('Tabela PW'!$AC:$AI,B57+1,1),""))</f>
        <v/>
      </c>
      <c r="T57" s="188"/>
      <c r="U57" s="188" t="str">
        <f>IF('Słownik PW'!$A$11=FALSE,"",_xlfn.IFERROR(INDEX('Tabela PW'!$AC:$AI,B57+1,2),""))</f>
        <v/>
      </c>
      <c r="V57" s="188"/>
      <c r="W57" s="188" t="str">
        <f>IF('Słownik PW'!$A$11=FALSE,"",_xlfn.IFERROR(INDEX('Tabela PW'!$AC:$AI,B57+1,3),""))</f>
        <v/>
      </c>
      <c r="X57" s="188"/>
      <c r="Y57" s="188" t="str">
        <f>IF('Słownik PW'!$A$11=FALSE,"",_xlfn.IFERROR(INDEX('Tabela PW'!$AC:$AI,B57+1,4),""))</f>
        <v/>
      </c>
      <c r="Z57" s="193"/>
      <c r="AA57" s="188" t="str">
        <f>IF('Słownik PW'!$A$11=FALSE,"",_xlfn.IFERROR(INDEX('Tabela PW'!$AC:$AI,B57+1,5),""))</f>
        <v/>
      </c>
      <c r="AB57" s="191"/>
      <c r="AC57" s="188" t="str">
        <f>IF('Słownik PW'!$A$11=FALSE,"",_xlfn.IFERROR(INDEX('Tabela PW'!$AC:$AI,B57+1,6),""))</f>
        <v/>
      </c>
      <c r="AD57" s="191"/>
      <c r="AE57" s="188" t="str">
        <f>IF('Słownik PW'!$A$11=FALSE,"",_xlfn.IFERROR(INDEX('Tabela PW'!$AC:$AI,B57+1,7),""))</f>
        <v/>
      </c>
      <c r="AF57" s="191"/>
      <c r="AG57" s="188" t="str">
        <f>IF('Słownik PW'!$A$11=FALSE,"",_xlfn.IFERROR(INDEX('Tabela PW'!$AC:$AJ,B57+1,8),""))</f>
        <v/>
      </c>
      <c r="AH57" s="191"/>
      <c r="AI57" s="188" t="str">
        <f>IF('Słownik PW'!$A$11=FALSE,"",_xlfn.IFERROR(INDEX('Tabela PW'!$AC:$AK,B57+1,9),""))</f>
        <v/>
      </c>
      <c r="AJ57" s="191"/>
      <c r="AK57" s="188" t="str">
        <f>IF('Słownik PW'!$A$11=FALSE,"",_xlfn.IFERROR(INDEX('Tabela PW'!$AC:$AL,B57+1,10),""))</f>
        <v/>
      </c>
    </row>
    <row r="58" spans="2:37" s="182" customFormat="1" ht="22.5" customHeight="1">
      <c r="B58" s="184" t="str">
        <f t="shared" si="0"/>
        <v/>
      </c>
      <c r="D58" s="184" t="str">
        <f>_xlfn.IFERROR('Tabela PW'!Z29,"")</f>
        <v/>
      </c>
      <c r="E58" s="183"/>
      <c r="F58" s="186" t="str">
        <f>_xlfn.IFERROR('Tabela PW'!AA29,"")</f>
        <v/>
      </c>
      <c r="G58" s="184"/>
      <c r="H58" s="188" t="str">
        <f>_xlfn.IFERROR(INDEX('Tabela PW'!AC:AL,B58+1,'Słownik PW'!$A$26-2009),"")</f>
        <v/>
      </c>
      <c r="I58" s="188"/>
      <c r="J58" s="188" t="str">
        <f>_xlfn.IFERROR(IF('Słownik PW'!$A$26=2010,"",INDEX('Tabela PW'!AC:AL,B58+1,'Słownik PW'!$A$26-2010)),"")</f>
        <v/>
      </c>
      <c r="K58" s="187"/>
      <c r="L58" s="189" t="str">
        <f>_xlfn.IFERROR(IF('Słownik PW'!$A$26=2010,"",H58/J58*100),"")</f>
        <v/>
      </c>
      <c r="M58" s="187"/>
      <c r="N58" s="399"/>
      <c r="O58" s="399"/>
      <c r="P58" s="187"/>
      <c r="Q58" s="189" t="str">
        <f>_xlfn.IFERROR(INDEX('Tabela PW'!AP:AP,B58+1,1),"")</f>
        <v/>
      </c>
      <c r="R58" s="187"/>
      <c r="S58" s="188" t="str">
        <f>IF('Słownik PW'!$A$11=FALSE,"",_xlfn.IFERROR(INDEX('Tabela PW'!$AC:$AI,B58+1,1),""))</f>
        <v/>
      </c>
      <c r="T58" s="188"/>
      <c r="U58" s="188" t="str">
        <f>IF('Słownik PW'!$A$11=FALSE,"",_xlfn.IFERROR(INDEX('Tabela PW'!$AC:$AI,B58+1,2),""))</f>
        <v/>
      </c>
      <c r="V58" s="188"/>
      <c r="W58" s="188" t="str">
        <f>IF('Słownik PW'!$A$11=FALSE,"",_xlfn.IFERROR(INDEX('Tabela PW'!$AC:$AI,B58+1,3),""))</f>
        <v/>
      </c>
      <c r="X58" s="188"/>
      <c r="Y58" s="188" t="str">
        <f>IF('Słownik PW'!$A$11=FALSE,"",_xlfn.IFERROR(INDEX('Tabela PW'!$AC:$AI,B58+1,4),""))</f>
        <v/>
      </c>
      <c r="Z58" s="193"/>
      <c r="AA58" s="188" t="str">
        <f>IF('Słownik PW'!$A$11=FALSE,"",_xlfn.IFERROR(INDEX('Tabela PW'!$AC:$AI,B58+1,5),""))</f>
        <v/>
      </c>
      <c r="AB58" s="191"/>
      <c r="AC58" s="188" t="str">
        <f>IF('Słownik PW'!$A$11=FALSE,"",_xlfn.IFERROR(INDEX('Tabela PW'!$AC:$AI,B58+1,6),""))</f>
        <v/>
      </c>
      <c r="AD58" s="191"/>
      <c r="AE58" s="188" t="str">
        <f>IF('Słownik PW'!$A$11=FALSE,"",_xlfn.IFERROR(INDEX('Tabela PW'!$AC:$AI,B58+1,7),""))</f>
        <v/>
      </c>
      <c r="AF58" s="191"/>
      <c r="AG58" s="188" t="str">
        <f>IF('Słownik PW'!$A$11=FALSE,"",_xlfn.IFERROR(INDEX('Tabela PW'!$AC:$AJ,B58+1,8),""))</f>
        <v/>
      </c>
      <c r="AH58" s="191"/>
      <c r="AI58" s="188" t="str">
        <f>IF('Słownik PW'!$A$11=FALSE,"",_xlfn.IFERROR(INDEX('Tabela PW'!$AC:$AK,B58+1,9),""))</f>
        <v/>
      </c>
      <c r="AJ58" s="191"/>
      <c r="AK58" s="188" t="str">
        <f>IF('Słownik PW'!$A$11=FALSE,"",_xlfn.IFERROR(INDEX('Tabela PW'!$AC:$AL,B58+1,10),""))</f>
        <v/>
      </c>
    </row>
    <row r="59" spans="2:37" s="182" customFormat="1" ht="22.5" customHeight="1">
      <c r="B59" s="184" t="str">
        <f t="shared" si="0"/>
        <v/>
      </c>
      <c r="D59" s="184" t="str">
        <f>_xlfn.IFERROR('Tabela PW'!Z30,"")</f>
        <v/>
      </c>
      <c r="E59" s="183"/>
      <c r="F59" s="186" t="str">
        <f>_xlfn.IFERROR('Tabela PW'!AA30,"")</f>
        <v/>
      </c>
      <c r="G59" s="184"/>
      <c r="H59" s="188" t="str">
        <f>_xlfn.IFERROR(INDEX('Tabela PW'!AC:AL,B59+1,'Słownik PW'!$A$26-2009),"")</f>
        <v/>
      </c>
      <c r="I59" s="188"/>
      <c r="J59" s="188" t="str">
        <f>_xlfn.IFERROR(IF('Słownik PW'!$A$26=2010,"",INDEX('Tabela PW'!AC:AL,B59+1,'Słownik PW'!$A$26-2010)),"")</f>
        <v/>
      </c>
      <c r="K59" s="187"/>
      <c r="L59" s="189" t="str">
        <f>_xlfn.IFERROR(IF('Słownik PW'!$A$26=2010,"",H59/J59*100),"")</f>
        <v/>
      </c>
      <c r="M59" s="187"/>
      <c r="N59" s="399"/>
      <c r="O59" s="399"/>
      <c r="P59" s="187"/>
      <c r="Q59" s="189" t="str">
        <f>_xlfn.IFERROR(INDEX('Tabela PW'!AP:AP,B59+1,1),"")</f>
        <v/>
      </c>
      <c r="R59" s="187"/>
      <c r="S59" s="188" t="str">
        <f>IF('Słownik PW'!$A$11=FALSE,"",_xlfn.IFERROR(INDEX('Tabela PW'!$AC:$AI,B59+1,1),""))</f>
        <v/>
      </c>
      <c r="T59" s="188"/>
      <c r="U59" s="188" t="str">
        <f>IF('Słownik PW'!$A$11=FALSE,"",_xlfn.IFERROR(INDEX('Tabela PW'!$AC:$AI,B59+1,2),""))</f>
        <v/>
      </c>
      <c r="V59" s="188"/>
      <c r="W59" s="188" t="str">
        <f>IF('Słownik PW'!$A$11=FALSE,"",_xlfn.IFERROR(INDEX('Tabela PW'!$AC:$AI,B59+1,3),""))</f>
        <v/>
      </c>
      <c r="X59" s="188"/>
      <c r="Y59" s="188" t="str">
        <f>IF('Słownik PW'!$A$11=FALSE,"",_xlfn.IFERROR(INDEX('Tabela PW'!$AC:$AI,B59+1,4),""))</f>
        <v/>
      </c>
      <c r="Z59" s="193"/>
      <c r="AA59" s="188" t="str">
        <f>IF('Słownik PW'!$A$11=FALSE,"",_xlfn.IFERROR(INDEX('Tabela PW'!$AC:$AI,B59+1,5),""))</f>
        <v/>
      </c>
      <c r="AB59" s="191"/>
      <c r="AC59" s="188" t="str">
        <f>IF('Słownik PW'!$A$11=FALSE,"",_xlfn.IFERROR(INDEX('Tabela PW'!$AC:$AI,B59+1,6),""))</f>
        <v/>
      </c>
      <c r="AD59" s="191"/>
      <c r="AE59" s="188" t="str">
        <f>IF('Słownik PW'!$A$11=FALSE,"",_xlfn.IFERROR(INDEX('Tabela PW'!$AC:$AI,B59+1,7),""))</f>
        <v/>
      </c>
      <c r="AF59" s="191"/>
      <c r="AG59" s="188" t="str">
        <f>IF('Słownik PW'!$A$11=FALSE,"",_xlfn.IFERROR(INDEX('Tabela PW'!$AC:$AJ,B59+1,8),""))</f>
        <v/>
      </c>
      <c r="AH59" s="191"/>
      <c r="AI59" s="188" t="str">
        <f>IF('Słownik PW'!$A$11=FALSE,"",_xlfn.IFERROR(INDEX('Tabela PW'!$AC:$AK,B59+1,9),""))</f>
        <v/>
      </c>
      <c r="AJ59" s="191"/>
      <c r="AK59" s="188" t="str">
        <f>IF('Słownik PW'!$A$11=FALSE,"",_xlfn.IFERROR(INDEX('Tabela PW'!$AC:$AL,B59+1,10),""))</f>
        <v/>
      </c>
    </row>
    <row r="60" spans="2:37" s="182" customFormat="1" ht="22.5" customHeight="1">
      <c r="B60" s="184" t="str">
        <f t="shared" si="0"/>
        <v/>
      </c>
      <c r="D60" s="184" t="str">
        <f>_xlfn.IFERROR('Tabela PW'!Z31,"")</f>
        <v/>
      </c>
      <c r="E60" s="183"/>
      <c r="F60" s="186" t="str">
        <f>_xlfn.IFERROR('Tabela PW'!AA31,"")</f>
        <v/>
      </c>
      <c r="G60" s="184"/>
      <c r="H60" s="188" t="str">
        <f>_xlfn.IFERROR(INDEX('Tabela PW'!AC:AL,B60+1,'Słownik PW'!$A$26-2009),"")</f>
        <v/>
      </c>
      <c r="I60" s="188"/>
      <c r="J60" s="188" t="str">
        <f>_xlfn.IFERROR(IF('Słownik PW'!$A$26=2010,"",INDEX('Tabela PW'!AC:AL,B60+1,'Słownik PW'!$A$26-2010)),"")</f>
        <v/>
      </c>
      <c r="K60" s="187"/>
      <c r="L60" s="189" t="str">
        <f>_xlfn.IFERROR(IF('Słownik PW'!$A$26=2010,"",H60/J60*100),"")</f>
        <v/>
      </c>
      <c r="M60" s="187"/>
      <c r="N60" s="399"/>
      <c r="O60" s="399"/>
      <c r="P60" s="187"/>
      <c r="Q60" s="189" t="str">
        <f>_xlfn.IFERROR(INDEX('Tabela PW'!AP:AP,B60+1,1),"")</f>
        <v/>
      </c>
      <c r="R60" s="187"/>
      <c r="S60" s="188" t="str">
        <f>IF('Słownik PW'!$A$11=FALSE,"",_xlfn.IFERROR(INDEX('Tabela PW'!$AC:$AI,B60+1,1),""))</f>
        <v/>
      </c>
      <c r="T60" s="188"/>
      <c r="U60" s="188" t="str">
        <f>IF('Słownik PW'!$A$11=FALSE,"",_xlfn.IFERROR(INDEX('Tabela PW'!$AC:$AI,B60+1,2),""))</f>
        <v/>
      </c>
      <c r="V60" s="188"/>
      <c r="W60" s="188" t="str">
        <f>IF('Słownik PW'!$A$11=FALSE,"",_xlfn.IFERROR(INDEX('Tabela PW'!$AC:$AI,B60+1,3),""))</f>
        <v/>
      </c>
      <c r="X60" s="188"/>
      <c r="Y60" s="188" t="str">
        <f>IF('Słownik PW'!$A$11=FALSE,"",_xlfn.IFERROR(INDEX('Tabela PW'!$AC:$AI,B60+1,4),""))</f>
        <v/>
      </c>
      <c r="Z60" s="193"/>
      <c r="AA60" s="188" t="str">
        <f>IF('Słownik PW'!$A$11=FALSE,"",_xlfn.IFERROR(INDEX('Tabela PW'!$AC:$AI,B60+1,5),""))</f>
        <v/>
      </c>
      <c r="AB60" s="191"/>
      <c r="AC60" s="188" t="str">
        <f>IF('Słownik PW'!$A$11=FALSE,"",_xlfn.IFERROR(INDEX('Tabela PW'!$AC:$AI,B60+1,6),""))</f>
        <v/>
      </c>
      <c r="AD60" s="191"/>
      <c r="AE60" s="188" t="str">
        <f>IF('Słownik PW'!$A$11=FALSE,"",_xlfn.IFERROR(INDEX('Tabela PW'!$AC:$AI,B60+1,7),""))</f>
        <v/>
      </c>
      <c r="AF60" s="191"/>
      <c r="AG60" s="188" t="str">
        <f>IF('Słownik PW'!$A$11=FALSE,"",_xlfn.IFERROR(INDEX('Tabela PW'!$AC:$AJ,B60+1,8),""))</f>
        <v/>
      </c>
      <c r="AH60" s="191"/>
      <c r="AI60" s="188" t="str">
        <f>IF('Słownik PW'!$A$11=FALSE,"",_xlfn.IFERROR(INDEX('Tabela PW'!$AC:$AK,B60+1,9),""))</f>
        <v/>
      </c>
      <c r="AJ60" s="191"/>
      <c r="AK60" s="188" t="str">
        <f>IF('Słownik PW'!$A$11=FALSE,"",_xlfn.IFERROR(INDEX('Tabela PW'!$AC:$AL,B60+1,10),""))</f>
        <v/>
      </c>
    </row>
    <row r="61" spans="2:37" s="182" customFormat="1" ht="22.5" customHeight="1">
      <c r="B61" s="184" t="str">
        <f t="shared" si="0"/>
        <v/>
      </c>
      <c r="D61" s="184" t="str">
        <f>_xlfn.IFERROR('Tabela PW'!Z32,"")</f>
        <v/>
      </c>
      <c r="E61" s="183"/>
      <c r="F61" s="186" t="str">
        <f>_xlfn.IFERROR('Tabela PW'!AA32,"")</f>
        <v/>
      </c>
      <c r="G61" s="184"/>
      <c r="H61" s="188" t="str">
        <f>_xlfn.IFERROR(INDEX('Tabela PW'!AC:AL,B61+1,'Słownik PW'!$A$26-2009),"")</f>
        <v/>
      </c>
      <c r="I61" s="188"/>
      <c r="J61" s="188" t="str">
        <f>_xlfn.IFERROR(IF('Słownik PW'!$A$26=2010,"",INDEX('Tabela PW'!AC:AL,B61+1,'Słownik PW'!$A$26-2010)),"")</f>
        <v/>
      </c>
      <c r="K61" s="187"/>
      <c r="L61" s="189" t="str">
        <f>_xlfn.IFERROR(IF('Słownik PW'!$A$26=2010,"",H61/J61*100),"")</f>
        <v/>
      </c>
      <c r="M61" s="187"/>
      <c r="N61" s="399"/>
      <c r="O61" s="399"/>
      <c r="P61" s="187"/>
      <c r="Q61" s="189" t="str">
        <f>_xlfn.IFERROR(INDEX('Tabela PW'!AP:AP,B61+1,1),"")</f>
        <v/>
      </c>
      <c r="R61" s="187"/>
      <c r="S61" s="188" t="str">
        <f>IF('Słownik PW'!$A$11=FALSE,"",_xlfn.IFERROR(INDEX('Tabela PW'!$AC:$AI,B61+1,1),""))</f>
        <v/>
      </c>
      <c r="T61" s="188"/>
      <c r="U61" s="188" t="str">
        <f>IF('Słownik PW'!$A$11=FALSE,"",_xlfn.IFERROR(INDEX('Tabela PW'!$AC:$AI,B61+1,2),""))</f>
        <v/>
      </c>
      <c r="V61" s="188"/>
      <c r="W61" s="188" t="str">
        <f>IF('Słownik PW'!$A$11=FALSE,"",_xlfn.IFERROR(INDEX('Tabela PW'!$AC:$AI,B61+1,3),""))</f>
        <v/>
      </c>
      <c r="X61" s="188"/>
      <c r="Y61" s="188" t="str">
        <f>IF('Słownik PW'!$A$11=FALSE,"",_xlfn.IFERROR(INDEX('Tabela PW'!$AC:$AI,B61+1,4),""))</f>
        <v/>
      </c>
      <c r="Z61" s="193"/>
      <c r="AA61" s="188" t="str">
        <f>IF('Słownik PW'!$A$11=FALSE,"",_xlfn.IFERROR(INDEX('Tabela PW'!$AC:$AI,B61+1,5),""))</f>
        <v/>
      </c>
      <c r="AB61" s="191"/>
      <c r="AC61" s="188" t="str">
        <f>IF('Słownik PW'!$A$11=FALSE,"",_xlfn.IFERROR(INDEX('Tabela PW'!$AC:$AI,B61+1,6),""))</f>
        <v/>
      </c>
      <c r="AD61" s="191"/>
      <c r="AE61" s="188" t="str">
        <f>IF('Słownik PW'!$A$11=FALSE,"",_xlfn.IFERROR(INDEX('Tabela PW'!$AC:$AI,B61+1,7),""))</f>
        <v/>
      </c>
      <c r="AF61" s="191"/>
      <c r="AG61" s="188" t="str">
        <f>IF('Słownik PW'!$A$11=FALSE,"",_xlfn.IFERROR(INDEX('Tabela PW'!$AC:$AJ,B61+1,8),""))</f>
        <v/>
      </c>
      <c r="AH61" s="191"/>
      <c r="AI61" s="188" t="str">
        <f>IF('Słownik PW'!$A$11=FALSE,"",_xlfn.IFERROR(INDEX('Tabela PW'!$AC:$AK,B61+1,9),""))</f>
        <v/>
      </c>
      <c r="AJ61" s="191"/>
      <c r="AK61" s="188" t="str">
        <f>IF('Słownik PW'!$A$11=FALSE,"",_xlfn.IFERROR(INDEX('Tabela PW'!$AC:$AL,B61+1,10),""))</f>
        <v/>
      </c>
    </row>
    <row r="62" spans="2:37" s="182" customFormat="1" ht="22.5" customHeight="1">
      <c r="B62" s="184" t="str">
        <f t="shared" si="0"/>
        <v/>
      </c>
      <c r="D62" s="184" t="str">
        <f>_xlfn.IFERROR('Tabela PW'!Z33,"")</f>
        <v/>
      </c>
      <c r="E62" s="183"/>
      <c r="F62" s="186" t="str">
        <f>_xlfn.IFERROR('Tabela PW'!AA33,"")</f>
        <v/>
      </c>
      <c r="G62" s="184"/>
      <c r="H62" s="188" t="str">
        <f>_xlfn.IFERROR(INDEX('Tabela PW'!AC:AL,B62+1,'Słownik PW'!$A$26-2009),"")</f>
        <v/>
      </c>
      <c r="I62" s="188"/>
      <c r="J62" s="188" t="str">
        <f>_xlfn.IFERROR(IF('Słownik PW'!$A$26=2010,"",INDEX('Tabela PW'!AC:AL,B62+1,'Słownik PW'!$A$26-2010)),"")</f>
        <v/>
      </c>
      <c r="K62" s="187"/>
      <c r="L62" s="189" t="str">
        <f>_xlfn.IFERROR(IF('Słownik PW'!$A$26=2010,"",H62/J62*100),"")</f>
        <v/>
      </c>
      <c r="M62" s="187"/>
      <c r="N62" s="399"/>
      <c r="O62" s="399"/>
      <c r="P62" s="187"/>
      <c r="Q62" s="189" t="str">
        <f>_xlfn.IFERROR(INDEX('Tabela PW'!AP:AP,B62+1,1),"")</f>
        <v/>
      </c>
      <c r="R62" s="187"/>
      <c r="S62" s="188" t="str">
        <f>IF('Słownik PW'!$A$11=FALSE,"",_xlfn.IFERROR(INDEX('Tabela PW'!$AC:$AI,B62+1,1),""))</f>
        <v/>
      </c>
      <c r="T62" s="188"/>
      <c r="U62" s="188" t="str">
        <f>IF('Słownik PW'!$A$11=FALSE,"",_xlfn.IFERROR(INDEX('Tabela PW'!$AC:$AI,B62+1,2),""))</f>
        <v/>
      </c>
      <c r="V62" s="188"/>
      <c r="W62" s="188" t="str">
        <f>IF('Słownik PW'!$A$11=FALSE,"",_xlfn.IFERROR(INDEX('Tabela PW'!$AC:$AI,B62+1,3),""))</f>
        <v/>
      </c>
      <c r="X62" s="188"/>
      <c r="Y62" s="188" t="str">
        <f>IF('Słownik PW'!$A$11=FALSE,"",_xlfn.IFERROR(INDEX('Tabela PW'!$AC:$AI,B62+1,4),""))</f>
        <v/>
      </c>
      <c r="Z62" s="193"/>
      <c r="AA62" s="188" t="str">
        <f>IF('Słownik PW'!$A$11=FALSE,"",_xlfn.IFERROR(INDEX('Tabela PW'!$AC:$AI,B62+1,5),""))</f>
        <v/>
      </c>
      <c r="AB62" s="191"/>
      <c r="AC62" s="188" t="str">
        <f>IF('Słownik PW'!$A$11=FALSE,"",_xlfn.IFERROR(INDEX('Tabela PW'!$AC:$AI,B62+1,6),""))</f>
        <v/>
      </c>
      <c r="AD62" s="191"/>
      <c r="AE62" s="188" t="str">
        <f>IF('Słownik PW'!$A$11=FALSE,"",_xlfn.IFERROR(INDEX('Tabela PW'!$AC:$AI,B62+1,7),""))</f>
        <v/>
      </c>
      <c r="AF62" s="191"/>
      <c r="AG62" s="188" t="str">
        <f>IF('Słownik PW'!$A$11=FALSE,"",_xlfn.IFERROR(INDEX('Tabela PW'!$AC:$AJ,B62+1,8),""))</f>
        <v/>
      </c>
      <c r="AH62" s="191"/>
      <c r="AI62" s="188" t="str">
        <f>IF('Słownik PW'!$A$11=FALSE,"",_xlfn.IFERROR(INDEX('Tabela PW'!$AC:$AK,B62+1,9),""))</f>
        <v/>
      </c>
      <c r="AJ62" s="191"/>
      <c r="AK62" s="188" t="str">
        <f>IF('Słownik PW'!$A$11=FALSE,"",_xlfn.IFERROR(INDEX('Tabela PW'!$AC:$AL,B62+1,10),""))</f>
        <v/>
      </c>
    </row>
    <row r="63" spans="2:37" s="182" customFormat="1" ht="22.5" customHeight="1">
      <c r="B63" s="184" t="str">
        <f t="shared" si="0"/>
        <v/>
      </c>
      <c r="D63" s="184" t="str">
        <f>_xlfn.IFERROR('Tabela PW'!Z34,"")</f>
        <v/>
      </c>
      <c r="E63" s="183"/>
      <c r="F63" s="186" t="str">
        <f>_xlfn.IFERROR('Tabela PW'!AA34,"")</f>
        <v/>
      </c>
      <c r="G63" s="184"/>
      <c r="H63" s="188" t="str">
        <f>_xlfn.IFERROR(INDEX('Tabela PW'!AC:AL,B63+1,'Słownik PW'!$A$26-2009),"")</f>
        <v/>
      </c>
      <c r="I63" s="188"/>
      <c r="J63" s="188" t="str">
        <f>_xlfn.IFERROR(IF('Słownik PW'!$A$26=2010,"",INDEX('Tabela PW'!AC:AL,B63+1,'Słownik PW'!$A$26-2010)),"")</f>
        <v/>
      </c>
      <c r="K63" s="187"/>
      <c r="L63" s="189" t="str">
        <f>_xlfn.IFERROR(IF('Słownik PW'!$A$26=2010,"",H63/J63*100),"")</f>
        <v/>
      </c>
      <c r="M63" s="187"/>
      <c r="N63" s="399"/>
      <c r="O63" s="399"/>
      <c r="P63" s="187"/>
      <c r="Q63" s="189" t="str">
        <f>_xlfn.IFERROR(INDEX('Tabela PW'!AP:AP,B63+1,1),"")</f>
        <v/>
      </c>
      <c r="R63" s="187"/>
      <c r="S63" s="188" t="str">
        <f>IF('Słownik PW'!$A$11=FALSE,"",_xlfn.IFERROR(INDEX('Tabela PW'!$AC:$AI,B63+1,1),""))</f>
        <v/>
      </c>
      <c r="T63" s="188"/>
      <c r="U63" s="188" t="str">
        <f>IF('Słownik PW'!$A$11=FALSE,"",_xlfn.IFERROR(INDEX('Tabela PW'!$AC:$AI,B63+1,2),""))</f>
        <v/>
      </c>
      <c r="V63" s="188"/>
      <c r="W63" s="188" t="str">
        <f>IF('Słownik PW'!$A$11=FALSE,"",_xlfn.IFERROR(INDEX('Tabela PW'!$AC:$AI,B63+1,3),""))</f>
        <v/>
      </c>
      <c r="X63" s="188"/>
      <c r="Y63" s="188" t="str">
        <f>IF('Słownik PW'!$A$11=FALSE,"",_xlfn.IFERROR(INDEX('Tabela PW'!$AC:$AI,B63+1,4),""))</f>
        <v/>
      </c>
      <c r="Z63" s="193"/>
      <c r="AA63" s="188" t="str">
        <f>IF('Słownik PW'!$A$11=FALSE,"",_xlfn.IFERROR(INDEX('Tabela PW'!$AC:$AI,B63+1,5),""))</f>
        <v/>
      </c>
      <c r="AB63" s="191"/>
      <c r="AC63" s="188" t="str">
        <f>IF('Słownik PW'!$A$11=FALSE,"",_xlfn.IFERROR(INDEX('Tabela PW'!$AC:$AI,B63+1,6),""))</f>
        <v/>
      </c>
      <c r="AD63" s="191"/>
      <c r="AE63" s="188" t="str">
        <f>IF('Słownik PW'!$A$11=FALSE,"",_xlfn.IFERROR(INDEX('Tabela PW'!$AC:$AI,B63+1,7),""))</f>
        <v/>
      </c>
      <c r="AF63" s="191"/>
      <c r="AG63" s="188" t="str">
        <f>IF('Słownik PW'!$A$11=FALSE,"",_xlfn.IFERROR(INDEX('Tabela PW'!$AC:$AJ,B63+1,8),""))</f>
        <v/>
      </c>
      <c r="AH63" s="191"/>
      <c r="AI63" s="188" t="str">
        <f>IF('Słownik PW'!$A$11=FALSE,"",_xlfn.IFERROR(INDEX('Tabela PW'!$AC:$AK,B63+1,9),""))</f>
        <v/>
      </c>
      <c r="AJ63" s="191"/>
      <c r="AK63" s="188" t="str">
        <f>IF('Słownik PW'!$A$11=FALSE,"",_xlfn.IFERROR(INDEX('Tabela PW'!$AC:$AL,B63+1,10),""))</f>
        <v/>
      </c>
    </row>
    <row r="64" spans="2:37" s="182" customFormat="1" ht="22.5" customHeight="1">
      <c r="B64" s="184" t="str">
        <f aca="true" t="shared" si="1" ref="B64:B95">IF(D64="","",B63+1)</f>
        <v/>
      </c>
      <c r="D64" s="184" t="str">
        <f>_xlfn.IFERROR('Tabela PW'!Z35,"")</f>
        <v/>
      </c>
      <c r="E64" s="183"/>
      <c r="F64" s="186" t="str">
        <f>_xlfn.IFERROR('Tabela PW'!AA35,"")</f>
        <v/>
      </c>
      <c r="G64" s="184"/>
      <c r="H64" s="188" t="str">
        <f>_xlfn.IFERROR(INDEX('Tabela PW'!AC:AL,B64+1,'Słownik PW'!$A$26-2009),"")</f>
        <v/>
      </c>
      <c r="I64" s="188"/>
      <c r="J64" s="188" t="str">
        <f>_xlfn.IFERROR(IF('Słownik PW'!$A$26=2010,"",INDEX('Tabela PW'!AC:AL,B64+1,'Słownik PW'!$A$26-2010)),"")</f>
        <v/>
      </c>
      <c r="K64" s="187"/>
      <c r="L64" s="189" t="str">
        <f>_xlfn.IFERROR(IF('Słownik PW'!$A$26=2010,"",H64/J64*100),"")</f>
        <v/>
      </c>
      <c r="M64" s="187"/>
      <c r="N64" s="399"/>
      <c r="O64" s="399"/>
      <c r="P64" s="187"/>
      <c r="Q64" s="189" t="str">
        <f>_xlfn.IFERROR(INDEX('Tabela PW'!AP:AP,B64+1,1),"")</f>
        <v/>
      </c>
      <c r="R64" s="187"/>
      <c r="S64" s="188" t="str">
        <f>IF('Słownik PW'!$A$11=FALSE,"",_xlfn.IFERROR(INDEX('Tabela PW'!$AC:$AI,B64+1,1),""))</f>
        <v/>
      </c>
      <c r="T64" s="188"/>
      <c r="U64" s="188" t="str">
        <f>IF('Słownik PW'!$A$11=FALSE,"",_xlfn.IFERROR(INDEX('Tabela PW'!$AC:$AI,B64+1,2),""))</f>
        <v/>
      </c>
      <c r="V64" s="188"/>
      <c r="W64" s="188" t="str">
        <f>IF('Słownik PW'!$A$11=FALSE,"",_xlfn.IFERROR(INDEX('Tabela PW'!$AC:$AI,B64+1,3),""))</f>
        <v/>
      </c>
      <c r="X64" s="188"/>
      <c r="Y64" s="188" t="str">
        <f>IF('Słownik PW'!$A$11=FALSE,"",_xlfn.IFERROR(INDEX('Tabela PW'!$AC:$AI,B64+1,4),""))</f>
        <v/>
      </c>
      <c r="Z64" s="193"/>
      <c r="AA64" s="188" t="str">
        <f>IF('Słownik PW'!$A$11=FALSE,"",_xlfn.IFERROR(INDEX('Tabela PW'!$AC:$AI,B64+1,5),""))</f>
        <v/>
      </c>
      <c r="AB64" s="191"/>
      <c r="AC64" s="188" t="str">
        <f>IF('Słownik PW'!$A$11=FALSE,"",_xlfn.IFERROR(INDEX('Tabela PW'!$AC:$AI,B64+1,6),""))</f>
        <v/>
      </c>
      <c r="AD64" s="191"/>
      <c r="AE64" s="188" t="str">
        <f>IF('Słownik PW'!$A$11=FALSE,"",_xlfn.IFERROR(INDEX('Tabela PW'!$AC:$AI,B64+1,7),""))</f>
        <v/>
      </c>
      <c r="AF64" s="191"/>
      <c r="AG64" s="188" t="str">
        <f>IF('Słownik PW'!$A$11=FALSE,"",_xlfn.IFERROR(INDEX('Tabela PW'!$AC:$AJ,B64+1,8),""))</f>
        <v/>
      </c>
      <c r="AH64" s="191"/>
      <c r="AI64" s="188" t="str">
        <f>IF('Słownik PW'!$A$11=FALSE,"",_xlfn.IFERROR(INDEX('Tabela PW'!$AC:$AK,B64+1,9),""))</f>
        <v/>
      </c>
      <c r="AJ64" s="191"/>
      <c r="AK64" s="188" t="str">
        <f>IF('Słownik PW'!$A$11=FALSE,"",_xlfn.IFERROR(INDEX('Tabela PW'!$AC:$AL,B64+1,10),""))</f>
        <v/>
      </c>
    </row>
    <row r="65" spans="2:37" s="182" customFormat="1" ht="22.5" customHeight="1">
      <c r="B65" s="184" t="str">
        <f t="shared" si="1"/>
        <v/>
      </c>
      <c r="D65" s="184" t="str">
        <f>_xlfn.IFERROR('Tabela PW'!Z36,"")</f>
        <v/>
      </c>
      <c r="E65" s="183"/>
      <c r="F65" s="186" t="str">
        <f>_xlfn.IFERROR('Tabela PW'!AA36,"")</f>
        <v/>
      </c>
      <c r="G65" s="184"/>
      <c r="H65" s="188" t="str">
        <f>_xlfn.IFERROR(INDEX('Tabela PW'!AC:AL,B65+1,'Słownik PW'!$A$26-2009),"")</f>
        <v/>
      </c>
      <c r="I65" s="188"/>
      <c r="J65" s="188" t="str">
        <f>_xlfn.IFERROR(IF('Słownik PW'!$A$26=2010,"",INDEX('Tabela PW'!AC:AL,B65+1,'Słownik PW'!$A$26-2010)),"")</f>
        <v/>
      </c>
      <c r="K65" s="187"/>
      <c r="L65" s="189" t="str">
        <f>_xlfn.IFERROR(IF('Słownik PW'!$A$26=2010,"",H65/J65*100),"")</f>
        <v/>
      </c>
      <c r="M65" s="187"/>
      <c r="N65" s="399"/>
      <c r="O65" s="399"/>
      <c r="P65" s="187"/>
      <c r="Q65" s="189" t="str">
        <f>_xlfn.IFERROR(INDEX('Tabela PW'!AP:AP,B65+1,1),"")</f>
        <v/>
      </c>
      <c r="R65" s="187"/>
      <c r="S65" s="188" t="str">
        <f>IF('Słownik PW'!$A$11=FALSE,"",_xlfn.IFERROR(INDEX('Tabela PW'!$AC:$AI,B65+1,1),""))</f>
        <v/>
      </c>
      <c r="T65" s="188"/>
      <c r="U65" s="188" t="str">
        <f>IF('Słownik PW'!$A$11=FALSE,"",_xlfn.IFERROR(INDEX('Tabela PW'!$AC:$AI,B65+1,2),""))</f>
        <v/>
      </c>
      <c r="V65" s="188"/>
      <c r="W65" s="188" t="str">
        <f>IF('Słownik PW'!$A$11=FALSE,"",_xlfn.IFERROR(INDEX('Tabela PW'!$AC:$AI,B65+1,3),""))</f>
        <v/>
      </c>
      <c r="X65" s="188"/>
      <c r="Y65" s="188" t="str">
        <f>IF('Słownik PW'!$A$11=FALSE,"",_xlfn.IFERROR(INDEX('Tabela PW'!$AC:$AI,B65+1,4),""))</f>
        <v/>
      </c>
      <c r="Z65" s="193"/>
      <c r="AA65" s="188" t="str">
        <f>IF('Słownik PW'!$A$11=FALSE,"",_xlfn.IFERROR(INDEX('Tabela PW'!$AC:$AI,B65+1,5),""))</f>
        <v/>
      </c>
      <c r="AB65" s="191"/>
      <c r="AC65" s="188" t="str">
        <f>IF('Słownik PW'!$A$11=FALSE,"",_xlfn.IFERROR(INDEX('Tabela PW'!$AC:$AI,B65+1,6),""))</f>
        <v/>
      </c>
      <c r="AD65" s="191"/>
      <c r="AE65" s="188" t="str">
        <f>IF('Słownik PW'!$A$11=FALSE,"",_xlfn.IFERROR(INDEX('Tabela PW'!$AC:$AI,B65+1,7),""))</f>
        <v/>
      </c>
      <c r="AF65" s="191"/>
      <c r="AG65" s="188" t="str">
        <f>IF('Słownik PW'!$A$11=FALSE,"",_xlfn.IFERROR(INDEX('Tabela PW'!$AC:$AJ,B65+1,8),""))</f>
        <v/>
      </c>
      <c r="AH65" s="191"/>
      <c r="AI65" s="188" t="str">
        <f>IF('Słownik PW'!$A$11=FALSE,"",_xlfn.IFERROR(INDEX('Tabela PW'!$AC:$AK,B65+1,9),""))</f>
        <v/>
      </c>
      <c r="AJ65" s="191"/>
      <c r="AK65" s="188" t="str">
        <f>IF('Słownik PW'!$A$11=FALSE,"",_xlfn.IFERROR(INDEX('Tabela PW'!$AC:$AL,B65+1,10),""))</f>
        <v/>
      </c>
    </row>
    <row r="66" spans="2:37" s="182" customFormat="1" ht="22.5" customHeight="1">
      <c r="B66" s="184" t="str">
        <f t="shared" si="1"/>
        <v/>
      </c>
      <c r="D66" s="184" t="str">
        <f>_xlfn.IFERROR('Tabela PW'!Z37,"")</f>
        <v/>
      </c>
      <c r="E66" s="183"/>
      <c r="F66" s="186" t="str">
        <f>_xlfn.IFERROR('Tabela PW'!AA37,"")</f>
        <v/>
      </c>
      <c r="G66" s="184"/>
      <c r="H66" s="188" t="str">
        <f>_xlfn.IFERROR(INDEX('Tabela PW'!AC:AL,B66+1,'Słownik PW'!$A$26-2009),"")</f>
        <v/>
      </c>
      <c r="I66" s="188"/>
      <c r="J66" s="188" t="str">
        <f>_xlfn.IFERROR(IF('Słownik PW'!$A$26=2010,"",INDEX('Tabela PW'!AC:AL,B66+1,'Słownik PW'!$A$26-2010)),"")</f>
        <v/>
      </c>
      <c r="K66" s="187"/>
      <c r="L66" s="189" t="str">
        <f>_xlfn.IFERROR(IF('Słownik PW'!$A$26=2010,"",H66/J66*100),"")</f>
        <v/>
      </c>
      <c r="M66" s="187"/>
      <c r="N66" s="399"/>
      <c r="O66" s="399"/>
      <c r="P66" s="187"/>
      <c r="Q66" s="189" t="str">
        <f>_xlfn.IFERROR(INDEX('Tabela PW'!AP:AP,B66+1,1),"")</f>
        <v/>
      </c>
      <c r="R66" s="187"/>
      <c r="S66" s="188" t="str">
        <f>IF('Słownik PW'!$A$11=FALSE,"",_xlfn.IFERROR(INDEX('Tabela PW'!$AC:$AI,B66+1,1),""))</f>
        <v/>
      </c>
      <c r="T66" s="188"/>
      <c r="U66" s="188" t="str">
        <f>IF('Słownik PW'!$A$11=FALSE,"",_xlfn.IFERROR(INDEX('Tabela PW'!$AC:$AI,B66+1,2),""))</f>
        <v/>
      </c>
      <c r="V66" s="188"/>
      <c r="W66" s="188" t="str">
        <f>IF('Słownik PW'!$A$11=FALSE,"",_xlfn.IFERROR(INDEX('Tabela PW'!$AC:$AI,B66+1,3),""))</f>
        <v/>
      </c>
      <c r="X66" s="188"/>
      <c r="Y66" s="188" t="str">
        <f>IF('Słownik PW'!$A$11=FALSE,"",_xlfn.IFERROR(INDEX('Tabela PW'!$AC:$AI,B66+1,4),""))</f>
        <v/>
      </c>
      <c r="Z66" s="193"/>
      <c r="AA66" s="188" t="str">
        <f>IF('Słownik PW'!$A$11=FALSE,"",_xlfn.IFERROR(INDEX('Tabela PW'!$AC:$AI,B66+1,5),""))</f>
        <v/>
      </c>
      <c r="AB66" s="191"/>
      <c r="AC66" s="188" t="str">
        <f>IF('Słownik PW'!$A$11=FALSE,"",_xlfn.IFERROR(INDEX('Tabela PW'!$AC:$AI,B66+1,6),""))</f>
        <v/>
      </c>
      <c r="AD66" s="191"/>
      <c r="AE66" s="188" t="str">
        <f>IF('Słownik PW'!$A$11=FALSE,"",_xlfn.IFERROR(INDEX('Tabela PW'!$AC:$AI,B66+1,7),""))</f>
        <v/>
      </c>
      <c r="AF66" s="191"/>
      <c r="AG66" s="188" t="str">
        <f>IF('Słownik PW'!$A$11=FALSE,"",_xlfn.IFERROR(INDEX('Tabela PW'!$AC:$AJ,B66+1,8),""))</f>
        <v/>
      </c>
      <c r="AH66" s="191"/>
      <c r="AI66" s="188" t="str">
        <f>IF('Słownik PW'!$A$11=FALSE,"",_xlfn.IFERROR(INDEX('Tabela PW'!$AC:$AK,B66+1,9),""))</f>
        <v/>
      </c>
      <c r="AJ66" s="191"/>
      <c r="AK66" s="188" t="str">
        <f>IF('Słownik PW'!$A$11=FALSE,"",_xlfn.IFERROR(INDEX('Tabela PW'!$AC:$AL,B66+1,10),""))</f>
        <v/>
      </c>
    </row>
    <row r="67" spans="2:37" s="182" customFormat="1" ht="22.5" customHeight="1">
      <c r="B67" s="184" t="str">
        <f t="shared" si="1"/>
        <v/>
      </c>
      <c r="D67" s="184" t="str">
        <f>_xlfn.IFERROR('Tabela PW'!Z38,"")</f>
        <v/>
      </c>
      <c r="E67" s="183"/>
      <c r="F67" s="186" t="str">
        <f>_xlfn.IFERROR('Tabela PW'!AA38,"")</f>
        <v/>
      </c>
      <c r="G67" s="184"/>
      <c r="H67" s="188" t="str">
        <f>_xlfn.IFERROR(INDEX('Tabela PW'!AC:AL,B67+1,'Słownik PW'!$A$26-2009),"")</f>
        <v/>
      </c>
      <c r="I67" s="188"/>
      <c r="J67" s="188" t="str">
        <f>_xlfn.IFERROR(IF('Słownik PW'!$A$26=2010,"",INDEX('Tabela PW'!AC:AL,B67+1,'Słownik PW'!$A$26-2010)),"")</f>
        <v/>
      </c>
      <c r="K67" s="187"/>
      <c r="L67" s="189" t="str">
        <f>_xlfn.IFERROR(IF('Słownik PW'!$A$26=2010,"",H67/J67*100),"")</f>
        <v/>
      </c>
      <c r="M67" s="187"/>
      <c r="N67" s="399"/>
      <c r="O67" s="399"/>
      <c r="P67" s="187"/>
      <c r="Q67" s="189" t="str">
        <f>_xlfn.IFERROR(INDEX('Tabela PW'!AP:AP,B67+1,1),"")</f>
        <v/>
      </c>
      <c r="R67" s="187"/>
      <c r="S67" s="188" t="str">
        <f>IF('Słownik PW'!$A$11=FALSE,"",_xlfn.IFERROR(INDEX('Tabela PW'!$AC:$AI,B67+1,1),""))</f>
        <v/>
      </c>
      <c r="T67" s="188"/>
      <c r="U67" s="188" t="str">
        <f>IF('Słownik PW'!$A$11=FALSE,"",_xlfn.IFERROR(INDEX('Tabela PW'!$AC:$AI,B67+1,2),""))</f>
        <v/>
      </c>
      <c r="V67" s="188"/>
      <c r="W67" s="188" t="str">
        <f>IF('Słownik PW'!$A$11=FALSE,"",_xlfn.IFERROR(INDEX('Tabela PW'!$AC:$AI,B67+1,3),""))</f>
        <v/>
      </c>
      <c r="X67" s="188"/>
      <c r="Y67" s="188" t="str">
        <f>IF('Słownik PW'!$A$11=FALSE,"",_xlfn.IFERROR(INDEX('Tabela PW'!$AC:$AI,B67+1,4),""))</f>
        <v/>
      </c>
      <c r="Z67" s="193"/>
      <c r="AA67" s="188" t="str">
        <f>IF('Słownik PW'!$A$11=FALSE,"",_xlfn.IFERROR(INDEX('Tabela PW'!$AC:$AI,B67+1,5),""))</f>
        <v/>
      </c>
      <c r="AB67" s="191"/>
      <c r="AC67" s="188" t="str">
        <f>IF('Słownik PW'!$A$11=FALSE,"",_xlfn.IFERROR(INDEX('Tabela PW'!$AC:$AI,B67+1,6),""))</f>
        <v/>
      </c>
      <c r="AD67" s="191"/>
      <c r="AE67" s="188" t="str">
        <f>IF('Słownik PW'!$A$11=FALSE,"",_xlfn.IFERROR(INDEX('Tabela PW'!$AC:$AI,B67+1,7),""))</f>
        <v/>
      </c>
      <c r="AF67" s="191"/>
      <c r="AG67" s="188" t="str">
        <f>IF('Słownik PW'!$A$11=FALSE,"",_xlfn.IFERROR(INDEX('Tabela PW'!$AC:$AJ,B67+1,8),""))</f>
        <v/>
      </c>
      <c r="AH67" s="191"/>
      <c r="AI67" s="188" t="str">
        <f>IF('Słownik PW'!$A$11=FALSE,"",_xlfn.IFERROR(INDEX('Tabela PW'!$AC:$AK,B67+1,9),""))</f>
        <v/>
      </c>
      <c r="AJ67" s="191"/>
      <c r="AK67" s="188" t="str">
        <f>IF('Słownik PW'!$A$11=FALSE,"",_xlfn.IFERROR(INDEX('Tabela PW'!$AC:$AL,B67+1,10),""))</f>
        <v/>
      </c>
    </row>
    <row r="68" spans="2:37" s="182" customFormat="1" ht="22.5" customHeight="1">
      <c r="B68" s="184" t="str">
        <f t="shared" si="1"/>
        <v/>
      </c>
      <c r="D68" s="184" t="str">
        <f>_xlfn.IFERROR('Tabela PW'!Z39,"")</f>
        <v/>
      </c>
      <c r="E68" s="183"/>
      <c r="F68" s="186" t="str">
        <f>_xlfn.IFERROR('Tabela PW'!AA39,"")</f>
        <v/>
      </c>
      <c r="G68" s="184"/>
      <c r="H68" s="188" t="str">
        <f>_xlfn.IFERROR(INDEX('Tabela PW'!AC:AL,B68+1,'Słownik PW'!$A$26-2009),"")</f>
        <v/>
      </c>
      <c r="I68" s="188"/>
      <c r="J68" s="188" t="str">
        <f>_xlfn.IFERROR(IF('Słownik PW'!$A$26=2010,"",INDEX('Tabela PW'!AC:AL,B68+1,'Słownik PW'!$A$26-2010)),"")</f>
        <v/>
      </c>
      <c r="K68" s="187"/>
      <c r="L68" s="189" t="str">
        <f>_xlfn.IFERROR(IF('Słownik PW'!$A$26=2010,"",H68/J68*100),"")</f>
        <v/>
      </c>
      <c r="M68" s="187"/>
      <c r="N68" s="399"/>
      <c r="O68" s="399"/>
      <c r="P68" s="187"/>
      <c r="Q68" s="189" t="str">
        <f>_xlfn.IFERROR(INDEX('Tabela PW'!AP:AP,B68+1,1),"")</f>
        <v/>
      </c>
      <c r="R68" s="187"/>
      <c r="S68" s="188" t="str">
        <f>IF('Słownik PW'!$A$11=FALSE,"",_xlfn.IFERROR(INDEX('Tabela PW'!$AC:$AI,B68+1,1),""))</f>
        <v/>
      </c>
      <c r="T68" s="188"/>
      <c r="U68" s="188" t="str">
        <f>IF('Słownik PW'!$A$11=FALSE,"",_xlfn.IFERROR(INDEX('Tabela PW'!$AC:$AI,B68+1,2),""))</f>
        <v/>
      </c>
      <c r="V68" s="188"/>
      <c r="W68" s="188" t="str">
        <f>IF('Słownik PW'!$A$11=FALSE,"",_xlfn.IFERROR(INDEX('Tabela PW'!$AC:$AI,B68+1,3),""))</f>
        <v/>
      </c>
      <c r="X68" s="188"/>
      <c r="Y68" s="188" t="str">
        <f>IF('Słownik PW'!$A$11=FALSE,"",_xlfn.IFERROR(INDEX('Tabela PW'!$AC:$AI,B68+1,4),""))</f>
        <v/>
      </c>
      <c r="Z68" s="193"/>
      <c r="AA68" s="188" t="str">
        <f>IF('Słownik PW'!$A$11=FALSE,"",_xlfn.IFERROR(INDEX('Tabela PW'!$AC:$AI,B68+1,5),""))</f>
        <v/>
      </c>
      <c r="AB68" s="191"/>
      <c r="AC68" s="188" t="str">
        <f>IF('Słownik PW'!$A$11=FALSE,"",_xlfn.IFERROR(INDEX('Tabela PW'!$AC:$AI,B68+1,6),""))</f>
        <v/>
      </c>
      <c r="AD68" s="191"/>
      <c r="AE68" s="188" t="str">
        <f>IF('Słownik PW'!$A$11=FALSE,"",_xlfn.IFERROR(INDEX('Tabela PW'!$AC:$AI,B68+1,7),""))</f>
        <v/>
      </c>
      <c r="AF68" s="191"/>
      <c r="AG68" s="188" t="str">
        <f>IF('Słownik PW'!$A$11=FALSE,"",_xlfn.IFERROR(INDEX('Tabela PW'!$AC:$AJ,B68+1,8),""))</f>
        <v/>
      </c>
      <c r="AH68" s="191"/>
      <c r="AI68" s="188" t="str">
        <f>IF('Słownik PW'!$A$11=FALSE,"",_xlfn.IFERROR(INDEX('Tabela PW'!$AC:$AK,B68+1,9),""))</f>
        <v/>
      </c>
      <c r="AJ68" s="191"/>
      <c r="AK68" s="188" t="str">
        <f>IF('Słownik PW'!$A$11=FALSE,"",_xlfn.IFERROR(INDEX('Tabela PW'!$AC:$AL,B68+1,10),""))</f>
        <v/>
      </c>
    </row>
    <row r="69" spans="2:37" s="182" customFormat="1" ht="22.5" customHeight="1">
      <c r="B69" s="184" t="str">
        <f t="shared" si="1"/>
        <v/>
      </c>
      <c r="D69" s="184" t="str">
        <f>_xlfn.IFERROR('Tabela PW'!Z40,"")</f>
        <v/>
      </c>
      <c r="E69" s="183"/>
      <c r="F69" s="186" t="str">
        <f>_xlfn.IFERROR('Tabela PW'!AA40,"")</f>
        <v/>
      </c>
      <c r="G69" s="184"/>
      <c r="H69" s="188" t="str">
        <f>_xlfn.IFERROR(INDEX('Tabela PW'!AC:AL,B69+1,'Słownik PW'!$A$26-2009),"")</f>
        <v/>
      </c>
      <c r="I69" s="188"/>
      <c r="J69" s="188" t="str">
        <f>_xlfn.IFERROR(IF('Słownik PW'!$A$26=2010,"",INDEX('Tabela PW'!AC:AL,B69+1,'Słownik PW'!$A$26-2010)),"")</f>
        <v/>
      </c>
      <c r="K69" s="187"/>
      <c r="L69" s="189" t="str">
        <f>_xlfn.IFERROR(IF('Słownik PW'!$A$26=2010,"",H69/J69*100),"")</f>
        <v/>
      </c>
      <c r="M69" s="187"/>
      <c r="N69" s="399"/>
      <c r="O69" s="399"/>
      <c r="P69" s="187"/>
      <c r="Q69" s="189" t="str">
        <f>_xlfn.IFERROR(INDEX('Tabela PW'!AP:AP,B69+1,1),"")</f>
        <v/>
      </c>
      <c r="R69" s="187"/>
      <c r="S69" s="188" t="str">
        <f>IF('Słownik PW'!$A$11=FALSE,"",_xlfn.IFERROR(INDEX('Tabela PW'!$AC:$AI,B69+1,1),""))</f>
        <v/>
      </c>
      <c r="T69" s="188"/>
      <c r="U69" s="188" t="str">
        <f>IF('Słownik PW'!$A$11=FALSE,"",_xlfn.IFERROR(INDEX('Tabela PW'!$AC:$AI,B69+1,2),""))</f>
        <v/>
      </c>
      <c r="V69" s="188"/>
      <c r="W69" s="188" t="str">
        <f>IF('Słownik PW'!$A$11=FALSE,"",_xlfn.IFERROR(INDEX('Tabela PW'!$AC:$AI,B69+1,3),""))</f>
        <v/>
      </c>
      <c r="X69" s="188"/>
      <c r="Y69" s="188" t="str">
        <f>IF('Słownik PW'!$A$11=FALSE,"",_xlfn.IFERROR(INDEX('Tabela PW'!$AC:$AI,B69+1,4),""))</f>
        <v/>
      </c>
      <c r="Z69" s="193"/>
      <c r="AA69" s="188" t="str">
        <f>IF('Słownik PW'!$A$11=FALSE,"",_xlfn.IFERROR(INDEX('Tabela PW'!$AC:$AI,B69+1,5),""))</f>
        <v/>
      </c>
      <c r="AB69" s="191"/>
      <c r="AC69" s="188" t="str">
        <f>IF('Słownik PW'!$A$11=FALSE,"",_xlfn.IFERROR(INDEX('Tabela PW'!$AC:$AI,B69+1,6),""))</f>
        <v/>
      </c>
      <c r="AD69" s="191"/>
      <c r="AE69" s="188" t="str">
        <f>IF('Słownik PW'!$A$11=FALSE,"",_xlfn.IFERROR(INDEX('Tabela PW'!$AC:$AI,B69+1,7),""))</f>
        <v/>
      </c>
      <c r="AF69" s="191"/>
      <c r="AG69" s="188" t="str">
        <f>IF('Słownik PW'!$A$11=FALSE,"",_xlfn.IFERROR(INDEX('Tabela PW'!$AC:$AJ,B69+1,8),""))</f>
        <v/>
      </c>
      <c r="AH69" s="191"/>
      <c r="AI69" s="188" t="str">
        <f>IF('Słownik PW'!$A$11=FALSE,"",_xlfn.IFERROR(INDEX('Tabela PW'!$AC:$AK,B69+1,9),""))</f>
        <v/>
      </c>
      <c r="AJ69" s="191"/>
      <c r="AK69" s="188" t="str">
        <f>IF('Słownik PW'!$A$11=FALSE,"",_xlfn.IFERROR(INDEX('Tabela PW'!$AC:$AL,B69+1,10),""))</f>
        <v/>
      </c>
    </row>
    <row r="70" spans="2:37" s="182" customFormat="1" ht="22.5" customHeight="1">
      <c r="B70" s="184" t="str">
        <f t="shared" si="1"/>
        <v/>
      </c>
      <c r="D70" s="184" t="str">
        <f>_xlfn.IFERROR('Tabela PW'!Z41,"")</f>
        <v/>
      </c>
      <c r="E70" s="183"/>
      <c r="F70" s="186" t="str">
        <f>_xlfn.IFERROR('Tabela PW'!AA41,"")</f>
        <v/>
      </c>
      <c r="G70" s="184"/>
      <c r="H70" s="188" t="str">
        <f>_xlfn.IFERROR(INDEX('Tabela PW'!AC:AL,B70+1,'Słownik PW'!$A$26-2009),"")</f>
        <v/>
      </c>
      <c r="I70" s="188"/>
      <c r="J70" s="188" t="str">
        <f>_xlfn.IFERROR(IF('Słownik PW'!$A$26=2010,"",INDEX('Tabela PW'!AC:AL,B70+1,'Słownik PW'!$A$26-2010)),"")</f>
        <v/>
      </c>
      <c r="K70" s="187"/>
      <c r="L70" s="189" t="str">
        <f>_xlfn.IFERROR(IF('Słownik PW'!$A$26=2010,"",H70/J70*100),"")</f>
        <v/>
      </c>
      <c r="M70" s="187"/>
      <c r="N70" s="399"/>
      <c r="O70" s="399"/>
      <c r="P70" s="187"/>
      <c r="Q70" s="189" t="str">
        <f>_xlfn.IFERROR(INDEX('Tabela PW'!AP:AP,B70+1,1),"")</f>
        <v/>
      </c>
      <c r="R70" s="187"/>
      <c r="S70" s="188" t="str">
        <f>IF('Słownik PW'!$A$11=FALSE,"",_xlfn.IFERROR(INDEX('Tabela PW'!$AC:$AI,B70+1,1),""))</f>
        <v/>
      </c>
      <c r="T70" s="188"/>
      <c r="U70" s="188" t="str">
        <f>IF('Słownik PW'!$A$11=FALSE,"",_xlfn.IFERROR(INDEX('Tabela PW'!$AC:$AI,B70+1,2),""))</f>
        <v/>
      </c>
      <c r="V70" s="188"/>
      <c r="W70" s="188" t="str">
        <f>IF('Słownik PW'!$A$11=FALSE,"",_xlfn.IFERROR(INDEX('Tabela PW'!$AC:$AI,B70+1,3),""))</f>
        <v/>
      </c>
      <c r="X70" s="188"/>
      <c r="Y70" s="188" t="str">
        <f>IF('Słownik PW'!$A$11=FALSE,"",_xlfn.IFERROR(INDEX('Tabela PW'!$AC:$AI,B70+1,4),""))</f>
        <v/>
      </c>
      <c r="Z70" s="193"/>
      <c r="AA70" s="188" t="str">
        <f>IF('Słownik PW'!$A$11=FALSE,"",_xlfn.IFERROR(INDEX('Tabela PW'!$AC:$AI,B70+1,5),""))</f>
        <v/>
      </c>
      <c r="AB70" s="191"/>
      <c r="AC70" s="188" t="str">
        <f>IF('Słownik PW'!$A$11=FALSE,"",_xlfn.IFERROR(INDEX('Tabela PW'!$AC:$AI,B70+1,6),""))</f>
        <v/>
      </c>
      <c r="AD70" s="191"/>
      <c r="AE70" s="188" t="str">
        <f>IF('Słownik PW'!$A$11=FALSE,"",_xlfn.IFERROR(INDEX('Tabela PW'!$AC:$AI,B70+1,7),""))</f>
        <v/>
      </c>
      <c r="AF70" s="191"/>
      <c r="AG70" s="188" t="str">
        <f>IF('Słownik PW'!$A$11=FALSE,"",_xlfn.IFERROR(INDEX('Tabela PW'!$AC:$AJ,B70+1,8),""))</f>
        <v/>
      </c>
      <c r="AH70" s="191"/>
      <c r="AI70" s="188" t="str">
        <f>IF('Słownik PW'!$A$11=FALSE,"",_xlfn.IFERROR(INDEX('Tabela PW'!$AC:$AK,B70+1,9),""))</f>
        <v/>
      </c>
      <c r="AJ70" s="191"/>
      <c r="AK70" s="188" t="str">
        <f>IF('Słownik PW'!$A$11=FALSE,"",_xlfn.IFERROR(INDEX('Tabela PW'!$AC:$AL,B70+1,10),""))</f>
        <v/>
      </c>
    </row>
    <row r="71" spans="2:37" s="182" customFormat="1" ht="22.5" customHeight="1">
      <c r="B71" s="184" t="str">
        <f t="shared" si="1"/>
        <v/>
      </c>
      <c r="D71" s="184" t="str">
        <f>_xlfn.IFERROR('Tabela PW'!Z42,"")</f>
        <v/>
      </c>
      <c r="E71" s="183"/>
      <c r="F71" s="186" t="str">
        <f>_xlfn.IFERROR('Tabela PW'!AA42,"")</f>
        <v/>
      </c>
      <c r="G71" s="184"/>
      <c r="H71" s="188" t="str">
        <f>_xlfn.IFERROR(INDEX('Tabela PW'!AC:AL,B71+1,'Słownik PW'!$A$26-2009),"")</f>
        <v/>
      </c>
      <c r="I71" s="188"/>
      <c r="J71" s="188" t="str">
        <f>_xlfn.IFERROR(IF('Słownik PW'!$A$26=2010,"",INDEX('Tabela PW'!AC:AL,B71+1,'Słownik PW'!$A$26-2010)),"")</f>
        <v/>
      </c>
      <c r="K71" s="187"/>
      <c r="L71" s="189" t="str">
        <f>_xlfn.IFERROR(IF('Słownik PW'!$A$26=2010,"",H71/J71*100),"")</f>
        <v/>
      </c>
      <c r="M71" s="187"/>
      <c r="N71" s="399"/>
      <c r="O71" s="399"/>
      <c r="P71" s="187"/>
      <c r="Q71" s="189" t="str">
        <f>_xlfn.IFERROR(INDEX('Tabela PW'!AP:AP,B71+1,1),"")</f>
        <v/>
      </c>
      <c r="R71" s="187"/>
      <c r="S71" s="188" t="str">
        <f>IF('Słownik PW'!$A$11=FALSE,"",_xlfn.IFERROR(INDEX('Tabela PW'!$AC:$AI,B71+1,1),""))</f>
        <v/>
      </c>
      <c r="T71" s="188"/>
      <c r="U71" s="188" t="str">
        <f>IF('Słownik PW'!$A$11=FALSE,"",_xlfn.IFERROR(INDEX('Tabela PW'!$AC:$AI,B71+1,2),""))</f>
        <v/>
      </c>
      <c r="V71" s="188"/>
      <c r="W71" s="188" t="str">
        <f>IF('Słownik PW'!$A$11=FALSE,"",_xlfn.IFERROR(INDEX('Tabela PW'!$AC:$AI,B71+1,3),""))</f>
        <v/>
      </c>
      <c r="X71" s="188"/>
      <c r="Y71" s="188" t="str">
        <f>IF('Słownik PW'!$A$11=FALSE,"",_xlfn.IFERROR(INDEX('Tabela PW'!$AC:$AI,B71+1,4),""))</f>
        <v/>
      </c>
      <c r="Z71" s="193"/>
      <c r="AA71" s="188" t="str">
        <f>IF('Słownik PW'!$A$11=FALSE,"",_xlfn.IFERROR(INDEX('Tabela PW'!$AC:$AI,B71+1,5),""))</f>
        <v/>
      </c>
      <c r="AB71" s="191"/>
      <c r="AC71" s="188" t="str">
        <f>IF('Słownik PW'!$A$11=FALSE,"",_xlfn.IFERROR(INDEX('Tabela PW'!$AC:$AI,B71+1,6),""))</f>
        <v/>
      </c>
      <c r="AD71" s="191"/>
      <c r="AE71" s="188" t="str">
        <f>IF('Słownik PW'!$A$11=FALSE,"",_xlfn.IFERROR(INDEX('Tabela PW'!$AC:$AI,B71+1,7),""))</f>
        <v/>
      </c>
      <c r="AF71" s="191"/>
      <c r="AG71" s="188" t="str">
        <f>IF('Słownik PW'!$A$11=FALSE,"",_xlfn.IFERROR(INDEX('Tabela PW'!$AC:$AJ,B71+1,8),""))</f>
        <v/>
      </c>
      <c r="AH71" s="191"/>
      <c r="AI71" s="188" t="str">
        <f>IF('Słownik PW'!$A$11=FALSE,"",_xlfn.IFERROR(INDEX('Tabela PW'!$AC:$AK,B71+1,9),""))</f>
        <v/>
      </c>
      <c r="AJ71" s="191"/>
      <c r="AK71" s="188" t="str">
        <f>IF('Słownik PW'!$A$11=FALSE,"",_xlfn.IFERROR(INDEX('Tabela PW'!$AC:$AL,B71+1,10),""))</f>
        <v/>
      </c>
    </row>
    <row r="72" spans="2:37" s="182" customFormat="1" ht="22.5" customHeight="1">
      <c r="B72" s="184" t="str">
        <f t="shared" si="1"/>
        <v/>
      </c>
      <c r="D72" s="184" t="str">
        <f>_xlfn.IFERROR('Tabela PW'!Z43,"")</f>
        <v/>
      </c>
      <c r="E72" s="183"/>
      <c r="F72" s="186" t="str">
        <f>_xlfn.IFERROR('Tabela PW'!AA43,"")</f>
        <v/>
      </c>
      <c r="G72" s="184"/>
      <c r="H72" s="188" t="str">
        <f>_xlfn.IFERROR(INDEX('Tabela PW'!AC:AL,B72+1,'Słownik PW'!$A$26-2009),"")</f>
        <v/>
      </c>
      <c r="I72" s="188"/>
      <c r="J72" s="188" t="str">
        <f>_xlfn.IFERROR(IF('Słownik PW'!$A$26=2010,"",INDEX('Tabela PW'!AC:AL,B72+1,'Słownik PW'!$A$26-2010)),"")</f>
        <v/>
      </c>
      <c r="K72" s="187"/>
      <c r="L72" s="189" t="str">
        <f>_xlfn.IFERROR(IF('Słownik PW'!$A$26=2010,"",H72/J72*100),"")</f>
        <v/>
      </c>
      <c r="M72" s="187"/>
      <c r="N72" s="399"/>
      <c r="O72" s="399"/>
      <c r="P72" s="187"/>
      <c r="Q72" s="189" t="str">
        <f>_xlfn.IFERROR(INDEX('Tabela PW'!AP:AP,B72+1,1),"")</f>
        <v/>
      </c>
      <c r="R72" s="187"/>
      <c r="S72" s="188" t="str">
        <f>IF('Słownik PW'!$A$11=FALSE,"",_xlfn.IFERROR(INDEX('Tabela PW'!$AC:$AI,B72+1,1),""))</f>
        <v/>
      </c>
      <c r="T72" s="188"/>
      <c r="U72" s="188" t="str">
        <f>IF('Słownik PW'!$A$11=FALSE,"",_xlfn.IFERROR(INDEX('Tabela PW'!$AC:$AI,B72+1,2),""))</f>
        <v/>
      </c>
      <c r="V72" s="188"/>
      <c r="W72" s="188" t="str">
        <f>IF('Słownik PW'!$A$11=FALSE,"",_xlfn.IFERROR(INDEX('Tabela PW'!$AC:$AI,B72+1,3),""))</f>
        <v/>
      </c>
      <c r="X72" s="188"/>
      <c r="Y72" s="188" t="str">
        <f>IF('Słownik PW'!$A$11=FALSE,"",_xlfn.IFERROR(INDEX('Tabela PW'!$AC:$AI,B72+1,4),""))</f>
        <v/>
      </c>
      <c r="Z72" s="193"/>
      <c r="AA72" s="188" t="str">
        <f>IF('Słownik PW'!$A$11=FALSE,"",_xlfn.IFERROR(INDEX('Tabela PW'!$AC:$AI,B72+1,5),""))</f>
        <v/>
      </c>
      <c r="AB72" s="191"/>
      <c r="AC72" s="188" t="str">
        <f>IF('Słownik PW'!$A$11=FALSE,"",_xlfn.IFERROR(INDEX('Tabela PW'!$AC:$AI,B72+1,6),""))</f>
        <v/>
      </c>
      <c r="AD72" s="191"/>
      <c r="AE72" s="188" t="str">
        <f>IF('Słownik PW'!$A$11=FALSE,"",_xlfn.IFERROR(INDEX('Tabela PW'!$AC:$AI,B72+1,7),""))</f>
        <v/>
      </c>
      <c r="AF72" s="191"/>
      <c r="AG72" s="188" t="str">
        <f>IF('Słownik PW'!$A$11=FALSE,"",_xlfn.IFERROR(INDEX('Tabela PW'!$AC:$AJ,B72+1,8),""))</f>
        <v/>
      </c>
      <c r="AH72" s="191"/>
      <c r="AI72" s="188" t="str">
        <f>IF('Słownik PW'!$A$11=FALSE,"",_xlfn.IFERROR(INDEX('Tabela PW'!$AC:$AK,B72+1,9),""))</f>
        <v/>
      </c>
      <c r="AJ72" s="191"/>
      <c r="AK72" s="188" t="str">
        <f>IF('Słownik PW'!$A$11=FALSE,"",_xlfn.IFERROR(INDEX('Tabela PW'!$AC:$AL,B72+1,10),""))</f>
        <v/>
      </c>
    </row>
    <row r="73" spans="2:37" s="182" customFormat="1" ht="22.5" customHeight="1">
      <c r="B73" s="184" t="str">
        <f t="shared" si="1"/>
        <v/>
      </c>
      <c r="D73" s="184" t="str">
        <f>_xlfn.IFERROR('Tabela PW'!Z44,"")</f>
        <v/>
      </c>
      <c r="E73" s="183"/>
      <c r="F73" s="186" t="str">
        <f>_xlfn.IFERROR('Tabela PW'!AA44,"")</f>
        <v/>
      </c>
      <c r="G73" s="184"/>
      <c r="H73" s="188" t="str">
        <f>_xlfn.IFERROR(INDEX('Tabela PW'!AC:AL,B73+1,'Słownik PW'!$A$26-2009),"")</f>
        <v/>
      </c>
      <c r="I73" s="188"/>
      <c r="J73" s="188" t="str">
        <f>_xlfn.IFERROR(IF('Słownik PW'!$A$26=2010,"",INDEX('Tabela PW'!AC:AL,B73+1,'Słownik PW'!$A$26-2010)),"")</f>
        <v/>
      </c>
      <c r="K73" s="187"/>
      <c r="L73" s="189" t="str">
        <f>_xlfn.IFERROR(IF('Słownik PW'!$A$26=2010,"",H73/J73*100),"")</f>
        <v/>
      </c>
      <c r="M73" s="187"/>
      <c r="N73" s="399"/>
      <c r="O73" s="399"/>
      <c r="P73" s="187"/>
      <c r="Q73" s="189" t="str">
        <f>_xlfn.IFERROR(INDEX('Tabela PW'!AP:AP,B73+1,1),"")</f>
        <v/>
      </c>
      <c r="R73" s="187"/>
      <c r="S73" s="188" t="str">
        <f>IF('Słownik PW'!$A$11=FALSE,"",_xlfn.IFERROR(INDEX('Tabela PW'!$AC:$AI,B73+1,1),""))</f>
        <v/>
      </c>
      <c r="T73" s="188"/>
      <c r="U73" s="188" t="str">
        <f>IF('Słownik PW'!$A$11=FALSE,"",_xlfn.IFERROR(INDEX('Tabela PW'!$AC:$AI,B73+1,2),""))</f>
        <v/>
      </c>
      <c r="V73" s="188"/>
      <c r="W73" s="188" t="str">
        <f>IF('Słownik PW'!$A$11=FALSE,"",_xlfn.IFERROR(INDEX('Tabela PW'!$AC:$AI,B73+1,3),""))</f>
        <v/>
      </c>
      <c r="X73" s="188"/>
      <c r="Y73" s="188" t="str">
        <f>IF('Słownik PW'!$A$11=FALSE,"",_xlfn.IFERROR(INDEX('Tabela PW'!$AC:$AI,B73+1,4),""))</f>
        <v/>
      </c>
      <c r="Z73" s="193"/>
      <c r="AA73" s="188" t="str">
        <f>IF('Słownik PW'!$A$11=FALSE,"",_xlfn.IFERROR(INDEX('Tabela PW'!$AC:$AI,B73+1,5),""))</f>
        <v/>
      </c>
      <c r="AB73" s="191"/>
      <c r="AC73" s="188" t="str">
        <f>IF('Słownik PW'!$A$11=FALSE,"",_xlfn.IFERROR(INDEX('Tabela PW'!$AC:$AI,B73+1,6),""))</f>
        <v/>
      </c>
      <c r="AD73" s="191"/>
      <c r="AE73" s="188" t="str">
        <f>IF('Słownik PW'!$A$11=FALSE,"",_xlfn.IFERROR(INDEX('Tabela PW'!$AC:$AI,B73+1,7),""))</f>
        <v/>
      </c>
      <c r="AF73" s="191"/>
      <c r="AG73" s="188" t="str">
        <f>IF('Słownik PW'!$A$11=FALSE,"",_xlfn.IFERROR(INDEX('Tabela PW'!$AC:$AJ,B73+1,8),""))</f>
        <v/>
      </c>
      <c r="AH73" s="191"/>
      <c r="AI73" s="188" t="str">
        <f>IF('Słownik PW'!$A$11=FALSE,"",_xlfn.IFERROR(INDEX('Tabela PW'!$AC:$AK,B73+1,9),""))</f>
        <v/>
      </c>
      <c r="AJ73" s="191"/>
      <c r="AK73" s="188" t="str">
        <f>IF('Słownik PW'!$A$11=FALSE,"",_xlfn.IFERROR(INDEX('Tabela PW'!$AC:$AL,B73+1,10),""))</f>
        <v/>
      </c>
    </row>
    <row r="74" spans="2:37" s="182" customFormat="1" ht="22.5" customHeight="1">
      <c r="B74" s="184" t="str">
        <f t="shared" si="1"/>
        <v/>
      </c>
      <c r="D74" s="184" t="str">
        <f>_xlfn.IFERROR('Tabela PW'!Z45,"")</f>
        <v/>
      </c>
      <c r="E74" s="183"/>
      <c r="F74" s="186" t="str">
        <f>_xlfn.IFERROR('Tabela PW'!AA45,"")</f>
        <v/>
      </c>
      <c r="G74" s="184"/>
      <c r="H74" s="188" t="str">
        <f>_xlfn.IFERROR(INDEX('Tabela PW'!AC:AL,B74+1,'Słownik PW'!$A$26-2009),"")</f>
        <v/>
      </c>
      <c r="I74" s="188"/>
      <c r="J74" s="188" t="str">
        <f>_xlfn.IFERROR(IF('Słownik PW'!$A$26=2010,"",INDEX('Tabela PW'!AC:AL,B74+1,'Słownik PW'!$A$26-2010)),"")</f>
        <v/>
      </c>
      <c r="K74" s="187"/>
      <c r="L74" s="189" t="str">
        <f>_xlfn.IFERROR(IF('Słownik PW'!$A$26=2010,"",H74/J74*100),"")</f>
        <v/>
      </c>
      <c r="M74" s="187"/>
      <c r="N74" s="399"/>
      <c r="O74" s="399"/>
      <c r="P74" s="187"/>
      <c r="Q74" s="189" t="str">
        <f>_xlfn.IFERROR(INDEX('Tabela PW'!AP:AP,B74+1,1),"")</f>
        <v/>
      </c>
      <c r="R74" s="187"/>
      <c r="S74" s="188" t="str">
        <f>IF('Słownik PW'!$A$11=FALSE,"",_xlfn.IFERROR(INDEX('Tabela PW'!$AC:$AI,B74+1,1),""))</f>
        <v/>
      </c>
      <c r="T74" s="188"/>
      <c r="U74" s="188" t="str">
        <f>IF('Słownik PW'!$A$11=FALSE,"",_xlfn.IFERROR(INDEX('Tabela PW'!$AC:$AI,B74+1,2),""))</f>
        <v/>
      </c>
      <c r="V74" s="188"/>
      <c r="W74" s="188" t="str">
        <f>IF('Słownik PW'!$A$11=FALSE,"",_xlfn.IFERROR(INDEX('Tabela PW'!$AC:$AI,B74+1,3),""))</f>
        <v/>
      </c>
      <c r="X74" s="188"/>
      <c r="Y74" s="188" t="str">
        <f>IF('Słownik PW'!$A$11=FALSE,"",_xlfn.IFERROR(INDEX('Tabela PW'!$AC:$AI,B74+1,4),""))</f>
        <v/>
      </c>
      <c r="Z74" s="193"/>
      <c r="AA74" s="188" t="str">
        <f>IF('Słownik PW'!$A$11=FALSE,"",_xlfn.IFERROR(INDEX('Tabela PW'!$AC:$AI,B74+1,5),""))</f>
        <v/>
      </c>
      <c r="AB74" s="191"/>
      <c r="AC74" s="188" t="str">
        <f>IF('Słownik PW'!$A$11=FALSE,"",_xlfn.IFERROR(INDEX('Tabela PW'!$AC:$AI,B74+1,6),""))</f>
        <v/>
      </c>
      <c r="AD74" s="191"/>
      <c r="AE74" s="188" t="str">
        <f>IF('Słownik PW'!$A$11=FALSE,"",_xlfn.IFERROR(INDEX('Tabela PW'!$AC:$AI,B74+1,7),""))</f>
        <v/>
      </c>
      <c r="AF74" s="191"/>
      <c r="AG74" s="188" t="str">
        <f>IF('Słownik PW'!$A$11=FALSE,"",_xlfn.IFERROR(INDEX('Tabela PW'!$AC:$AJ,B74+1,8),""))</f>
        <v/>
      </c>
      <c r="AH74" s="191"/>
      <c r="AI74" s="188" t="str">
        <f>IF('Słownik PW'!$A$11=FALSE,"",_xlfn.IFERROR(INDEX('Tabela PW'!$AC:$AK,B74+1,9),""))</f>
        <v/>
      </c>
      <c r="AJ74" s="191"/>
      <c r="AK74" s="188" t="str">
        <f>IF('Słownik PW'!$A$11=FALSE,"",_xlfn.IFERROR(INDEX('Tabela PW'!$AC:$AL,B74+1,10),""))</f>
        <v/>
      </c>
    </row>
    <row r="75" spans="2:37" s="182" customFormat="1" ht="22.5" customHeight="1">
      <c r="B75" s="184" t="str">
        <f t="shared" si="1"/>
        <v/>
      </c>
      <c r="D75" s="184" t="str">
        <f>_xlfn.IFERROR('Tabela PW'!Z46,"")</f>
        <v/>
      </c>
      <c r="E75" s="183"/>
      <c r="F75" s="186" t="str">
        <f>_xlfn.IFERROR('Tabela PW'!AA46,"")</f>
        <v/>
      </c>
      <c r="G75" s="184"/>
      <c r="H75" s="188" t="str">
        <f>_xlfn.IFERROR(INDEX('Tabela PW'!AC:AL,B75+1,'Słownik PW'!$A$26-2009),"")</f>
        <v/>
      </c>
      <c r="I75" s="188"/>
      <c r="J75" s="188" t="str">
        <f>_xlfn.IFERROR(IF('Słownik PW'!$A$26=2010,"",INDEX('Tabela PW'!AC:AL,B75+1,'Słownik PW'!$A$26-2010)),"")</f>
        <v/>
      </c>
      <c r="K75" s="187"/>
      <c r="L75" s="189" t="str">
        <f>_xlfn.IFERROR(IF('Słownik PW'!$A$26=2010,"",H75/J75*100),"")</f>
        <v/>
      </c>
      <c r="M75" s="187"/>
      <c r="N75" s="399"/>
      <c r="O75" s="399"/>
      <c r="P75" s="187"/>
      <c r="Q75" s="189" t="str">
        <f>_xlfn.IFERROR(INDEX('Tabela PW'!AP:AP,B75+1,1),"")</f>
        <v/>
      </c>
      <c r="R75" s="187"/>
      <c r="S75" s="188" t="str">
        <f>IF('Słownik PW'!$A$11=FALSE,"",_xlfn.IFERROR(INDEX('Tabela PW'!$AC:$AI,B75+1,1),""))</f>
        <v/>
      </c>
      <c r="T75" s="188"/>
      <c r="U75" s="188" t="str">
        <f>IF('Słownik PW'!$A$11=FALSE,"",_xlfn.IFERROR(INDEX('Tabela PW'!$AC:$AI,B75+1,2),""))</f>
        <v/>
      </c>
      <c r="V75" s="188"/>
      <c r="W75" s="188" t="str">
        <f>IF('Słownik PW'!$A$11=FALSE,"",_xlfn.IFERROR(INDEX('Tabela PW'!$AC:$AI,B75+1,3),""))</f>
        <v/>
      </c>
      <c r="X75" s="188"/>
      <c r="Y75" s="188" t="str">
        <f>IF('Słownik PW'!$A$11=FALSE,"",_xlfn.IFERROR(INDEX('Tabela PW'!$AC:$AI,B75+1,4),""))</f>
        <v/>
      </c>
      <c r="Z75" s="193"/>
      <c r="AA75" s="188" t="str">
        <f>IF('Słownik PW'!$A$11=FALSE,"",_xlfn.IFERROR(INDEX('Tabela PW'!$AC:$AI,B75+1,5),""))</f>
        <v/>
      </c>
      <c r="AB75" s="191"/>
      <c r="AC75" s="188" t="str">
        <f>IF('Słownik PW'!$A$11=FALSE,"",_xlfn.IFERROR(INDEX('Tabela PW'!$AC:$AI,B75+1,6),""))</f>
        <v/>
      </c>
      <c r="AD75" s="191"/>
      <c r="AE75" s="188" t="str">
        <f>IF('Słownik PW'!$A$11=FALSE,"",_xlfn.IFERROR(INDEX('Tabela PW'!$AC:$AI,B75+1,7),""))</f>
        <v/>
      </c>
      <c r="AF75" s="191"/>
      <c r="AG75" s="188" t="str">
        <f>IF('Słownik PW'!$A$11=FALSE,"",_xlfn.IFERROR(INDEX('Tabela PW'!$AC:$AJ,B75+1,8),""))</f>
        <v/>
      </c>
      <c r="AH75" s="191"/>
      <c r="AI75" s="188" t="str">
        <f>IF('Słownik PW'!$A$11=FALSE,"",_xlfn.IFERROR(INDEX('Tabela PW'!$AC:$AK,B75+1,9),""))</f>
        <v/>
      </c>
      <c r="AJ75" s="191"/>
      <c r="AK75" s="188" t="str">
        <f>IF('Słownik PW'!$A$11=FALSE,"",_xlfn.IFERROR(INDEX('Tabela PW'!$AC:$AL,B75+1,10),""))</f>
        <v/>
      </c>
    </row>
    <row r="76" spans="2:37" s="182" customFormat="1" ht="22.5" customHeight="1">
      <c r="B76" s="184" t="str">
        <f t="shared" si="1"/>
        <v/>
      </c>
      <c r="D76" s="184" t="str">
        <f>_xlfn.IFERROR('Tabela PW'!Z47,"")</f>
        <v/>
      </c>
      <c r="E76" s="183"/>
      <c r="F76" s="186" t="str">
        <f>_xlfn.IFERROR('Tabela PW'!AA47,"")</f>
        <v/>
      </c>
      <c r="G76" s="184"/>
      <c r="H76" s="188" t="str">
        <f>_xlfn.IFERROR(INDEX('Tabela PW'!AC:AL,B76+1,'Słownik PW'!$A$26-2009),"")</f>
        <v/>
      </c>
      <c r="I76" s="188"/>
      <c r="J76" s="188" t="str">
        <f>_xlfn.IFERROR(IF('Słownik PW'!$A$26=2010,"",INDEX('Tabela PW'!AC:AL,B76+1,'Słownik PW'!$A$26-2010)),"")</f>
        <v/>
      </c>
      <c r="K76" s="187"/>
      <c r="L76" s="189" t="str">
        <f>_xlfn.IFERROR(IF('Słownik PW'!$A$26=2010,"",H76/J76*100),"")</f>
        <v/>
      </c>
      <c r="M76" s="187"/>
      <c r="N76" s="399"/>
      <c r="O76" s="399"/>
      <c r="P76" s="187"/>
      <c r="Q76" s="189" t="str">
        <f>_xlfn.IFERROR(INDEX('Tabela PW'!AP:AP,B76+1,1),"")</f>
        <v/>
      </c>
      <c r="R76" s="187"/>
      <c r="S76" s="188" t="str">
        <f>IF('Słownik PW'!$A$11=FALSE,"",_xlfn.IFERROR(INDEX('Tabela PW'!$AC:$AI,B76+1,1),""))</f>
        <v/>
      </c>
      <c r="T76" s="188"/>
      <c r="U76" s="188" t="str">
        <f>IF('Słownik PW'!$A$11=FALSE,"",_xlfn.IFERROR(INDEX('Tabela PW'!$AC:$AI,B76+1,2),""))</f>
        <v/>
      </c>
      <c r="V76" s="188"/>
      <c r="W76" s="188" t="str">
        <f>IF('Słownik PW'!$A$11=FALSE,"",_xlfn.IFERROR(INDEX('Tabela PW'!$AC:$AI,B76+1,3),""))</f>
        <v/>
      </c>
      <c r="X76" s="188"/>
      <c r="Y76" s="188" t="str">
        <f>IF('Słownik PW'!$A$11=FALSE,"",_xlfn.IFERROR(INDEX('Tabela PW'!$AC:$AI,B76+1,4),""))</f>
        <v/>
      </c>
      <c r="Z76" s="193"/>
      <c r="AA76" s="188" t="str">
        <f>IF('Słownik PW'!$A$11=FALSE,"",_xlfn.IFERROR(INDEX('Tabela PW'!$AC:$AI,B76+1,5),""))</f>
        <v/>
      </c>
      <c r="AB76" s="191"/>
      <c r="AC76" s="188" t="str">
        <f>IF('Słownik PW'!$A$11=FALSE,"",_xlfn.IFERROR(INDEX('Tabela PW'!$AC:$AI,B76+1,6),""))</f>
        <v/>
      </c>
      <c r="AD76" s="191"/>
      <c r="AE76" s="188" t="str">
        <f>IF('Słownik PW'!$A$11=FALSE,"",_xlfn.IFERROR(INDEX('Tabela PW'!$AC:$AI,B76+1,7),""))</f>
        <v/>
      </c>
      <c r="AF76" s="191"/>
      <c r="AG76" s="188" t="str">
        <f>IF('Słownik PW'!$A$11=FALSE,"",_xlfn.IFERROR(INDEX('Tabela PW'!$AC:$AJ,B76+1,8),""))</f>
        <v/>
      </c>
      <c r="AH76" s="191"/>
      <c r="AI76" s="188" t="str">
        <f>IF('Słownik PW'!$A$11=FALSE,"",_xlfn.IFERROR(INDEX('Tabela PW'!$AC:$AK,B76+1,9),""))</f>
        <v/>
      </c>
      <c r="AJ76" s="191"/>
      <c r="AK76" s="188" t="str">
        <f>IF('Słownik PW'!$A$11=FALSE,"",_xlfn.IFERROR(INDEX('Tabela PW'!$AC:$AL,B76+1,10),""))</f>
        <v/>
      </c>
    </row>
    <row r="77" spans="2:37" s="182" customFormat="1" ht="22.5" customHeight="1">
      <c r="B77" s="184" t="str">
        <f t="shared" si="1"/>
        <v/>
      </c>
      <c r="D77" s="184" t="str">
        <f>_xlfn.IFERROR('Tabela PW'!Z48,"")</f>
        <v/>
      </c>
      <c r="E77" s="183"/>
      <c r="F77" s="186" t="str">
        <f>_xlfn.IFERROR('Tabela PW'!AA48,"")</f>
        <v/>
      </c>
      <c r="G77" s="184"/>
      <c r="H77" s="188" t="str">
        <f>_xlfn.IFERROR(INDEX('Tabela PW'!AC:AL,B77+1,'Słownik PW'!$A$26-2009),"")</f>
        <v/>
      </c>
      <c r="I77" s="188"/>
      <c r="J77" s="188" t="str">
        <f>_xlfn.IFERROR(IF('Słownik PW'!$A$26=2010,"",INDEX('Tabela PW'!AC:AL,B77+1,'Słownik PW'!$A$26-2010)),"")</f>
        <v/>
      </c>
      <c r="K77" s="187"/>
      <c r="L77" s="189" t="str">
        <f>_xlfn.IFERROR(IF('Słownik PW'!$A$26=2010,"",H77/J77*100),"")</f>
        <v/>
      </c>
      <c r="M77" s="187"/>
      <c r="N77" s="399"/>
      <c r="O77" s="399"/>
      <c r="P77" s="187"/>
      <c r="Q77" s="189" t="str">
        <f>_xlfn.IFERROR(INDEX('Tabela PW'!AP:AP,B77+1,1),"")</f>
        <v/>
      </c>
      <c r="R77" s="187"/>
      <c r="S77" s="188" t="str">
        <f>IF('Słownik PW'!$A$11=FALSE,"",_xlfn.IFERROR(INDEX('Tabela PW'!$AC:$AI,B77+1,1),""))</f>
        <v/>
      </c>
      <c r="T77" s="188"/>
      <c r="U77" s="188" t="str">
        <f>IF('Słownik PW'!$A$11=FALSE,"",_xlfn.IFERROR(INDEX('Tabela PW'!$AC:$AI,B77+1,2),""))</f>
        <v/>
      </c>
      <c r="V77" s="188"/>
      <c r="W77" s="188" t="str">
        <f>IF('Słownik PW'!$A$11=FALSE,"",_xlfn.IFERROR(INDEX('Tabela PW'!$AC:$AI,B77+1,3),""))</f>
        <v/>
      </c>
      <c r="X77" s="188"/>
      <c r="Y77" s="188" t="str">
        <f>IF('Słownik PW'!$A$11=FALSE,"",_xlfn.IFERROR(INDEX('Tabela PW'!$AC:$AI,B77+1,4),""))</f>
        <v/>
      </c>
      <c r="Z77" s="193"/>
      <c r="AA77" s="188" t="str">
        <f>IF('Słownik PW'!$A$11=FALSE,"",_xlfn.IFERROR(INDEX('Tabela PW'!$AC:$AI,B77+1,5),""))</f>
        <v/>
      </c>
      <c r="AB77" s="191"/>
      <c r="AC77" s="188" t="str">
        <f>IF('Słownik PW'!$A$11=FALSE,"",_xlfn.IFERROR(INDEX('Tabela PW'!$AC:$AI,B77+1,6),""))</f>
        <v/>
      </c>
      <c r="AD77" s="191"/>
      <c r="AE77" s="188" t="str">
        <f>IF('Słownik PW'!$A$11=FALSE,"",_xlfn.IFERROR(INDEX('Tabela PW'!$AC:$AI,B77+1,7),""))</f>
        <v/>
      </c>
      <c r="AF77" s="191"/>
      <c r="AG77" s="188" t="str">
        <f>IF('Słownik PW'!$A$11=FALSE,"",_xlfn.IFERROR(INDEX('Tabela PW'!$AC:$AJ,B77+1,8),""))</f>
        <v/>
      </c>
      <c r="AH77" s="191"/>
      <c r="AI77" s="188" t="str">
        <f>IF('Słownik PW'!$A$11=FALSE,"",_xlfn.IFERROR(INDEX('Tabela PW'!$AC:$AK,B77+1,9),""))</f>
        <v/>
      </c>
      <c r="AJ77" s="191"/>
      <c r="AK77" s="188" t="str">
        <f>IF('Słownik PW'!$A$11=FALSE,"",_xlfn.IFERROR(INDEX('Tabela PW'!$AC:$AL,B77+1,10),""))</f>
        <v/>
      </c>
    </row>
    <row r="78" spans="2:37" s="182" customFormat="1" ht="22.5" customHeight="1">
      <c r="B78" s="184" t="str">
        <f t="shared" si="1"/>
        <v/>
      </c>
      <c r="D78" s="184" t="str">
        <f>_xlfn.IFERROR('Tabela PW'!Z49,"")</f>
        <v/>
      </c>
      <c r="E78" s="183"/>
      <c r="F78" s="186" t="str">
        <f>_xlfn.IFERROR('Tabela PW'!AA49,"")</f>
        <v/>
      </c>
      <c r="G78" s="184"/>
      <c r="H78" s="188" t="str">
        <f>_xlfn.IFERROR(INDEX('Tabela PW'!AC:AL,B78+1,'Słownik PW'!$A$26-2009),"")</f>
        <v/>
      </c>
      <c r="I78" s="188"/>
      <c r="J78" s="188" t="str">
        <f>_xlfn.IFERROR(IF('Słownik PW'!$A$26=2010,"",INDEX('Tabela PW'!AC:AL,B78+1,'Słownik PW'!$A$26-2010)),"")</f>
        <v/>
      </c>
      <c r="K78" s="187"/>
      <c r="L78" s="189" t="str">
        <f>_xlfn.IFERROR(IF('Słownik PW'!$A$26=2010,"",H78/J78*100),"")</f>
        <v/>
      </c>
      <c r="M78" s="187"/>
      <c r="N78" s="399"/>
      <c r="O78" s="399"/>
      <c r="P78" s="187"/>
      <c r="Q78" s="189" t="str">
        <f>_xlfn.IFERROR(INDEX('Tabela PW'!AP:AP,B78+1,1),"")</f>
        <v/>
      </c>
      <c r="R78" s="187"/>
      <c r="S78" s="188" t="str">
        <f>IF('Słownik PW'!$A$11=FALSE,"",_xlfn.IFERROR(INDEX('Tabela PW'!$AC:$AI,B78+1,1),""))</f>
        <v/>
      </c>
      <c r="T78" s="188"/>
      <c r="U78" s="188" t="str">
        <f>IF('Słownik PW'!$A$11=FALSE,"",_xlfn.IFERROR(INDEX('Tabela PW'!$AC:$AI,B78+1,2),""))</f>
        <v/>
      </c>
      <c r="V78" s="188"/>
      <c r="W78" s="188" t="str">
        <f>IF('Słownik PW'!$A$11=FALSE,"",_xlfn.IFERROR(INDEX('Tabela PW'!$AC:$AI,B78+1,3),""))</f>
        <v/>
      </c>
      <c r="X78" s="188"/>
      <c r="Y78" s="188" t="str">
        <f>IF('Słownik PW'!$A$11=FALSE,"",_xlfn.IFERROR(INDEX('Tabela PW'!$AC:$AI,B78+1,4),""))</f>
        <v/>
      </c>
      <c r="Z78" s="193"/>
      <c r="AA78" s="188" t="str">
        <f>IF('Słownik PW'!$A$11=FALSE,"",_xlfn.IFERROR(INDEX('Tabela PW'!$AC:$AI,B78+1,5),""))</f>
        <v/>
      </c>
      <c r="AB78" s="191"/>
      <c r="AC78" s="188" t="str">
        <f>IF('Słownik PW'!$A$11=FALSE,"",_xlfn.IFERROR(INDEX('Tabela PW'!$AC:$AI,B78+1,6),""))</f>
        <v/>
      </c>
      <c r="AD78" s="191"/>
      <c r="AE78" s="188" t="str">
        <f>IF('Słownik PW'!$A$11=FALSE,"",_xlfn.IFERROR(INDEX('Tabela PW'!$AC:$AI,B78+1,7),""))</f>
        <v/>
      </c>
      <c r="AF78" s="191"/>
      <c r="AG78" s="188" t="str">
        <f>IF('Słownik PW'!$A$11=FALSE,"",_xlfn.IFERROR(INDEX('Tabela PW'!$AC:$AJ,B78+1,8),""))</f>
        <v/>
      </c>
      <c r="AH78" s="191"/>
      <c r="AI78" s="188" t="str">
        <f>IF('Słownik PW'!$A$11=FALSE,"",_xlfn.IFERROR(INDEX('Tabela PW'!$AC:$AK,B78+1,9),""))</f>
        <v/>
      </c>
      <c r="AJ78" s="191"/>
      <c r="AK78" s="188" t="str">
        <f>IF('Słownik PW'!$A$11=FALSE,"",_xlfn.IFERROR(INDEX('Tabela PW'!$AC:$AL,B78+1,10),""))</f>
        <v/>
      </c>
    </row>
    <row r="79" spans="2:37" s="182" customFormat="1" ht="22.5" customHeight="1">
      <c r="B79" s="184" t="str">
        <f t="shared" si="1"/>
        <v/>
      </c>
      <c r="D79" s="184" t="str">
        <f>_xlfn.IFERROR('Tabela PW'!Z50,"")</f>
        <v/>
      </c>
      <c r="E79" s="183"/>
      <c r="F79" s="186" t="str">
        <f>_xlfn.IFERROR('Tabela PW'!AA50,"")</f>
        <v/>
      </c>
      <c r="G79" s="184"/>
      <c r="H79" s="188" t="str">
        <f>_xlfn.IFERROR(INDEX('Tabela PW'!AC:AL,B79+1,'Słownik PW'!$A$26-2009),"")</f>
        <v/>
      </c>
      <c r="I79" s="188"/>
      <c r="J79" s="188" t="str">
        <f>_xlfn.IFERROR(IF('Słownik PW'!$A$26=2010,"",INDEX('Tabela PW'!AC:AL,B79+1,'Słownik PW'!$A$26-2010)),"")</f>
        <v/>
      </c>
      <c r="K79" s="187"/>
      <c r="L79" s="189" t="str">
        <f>_xlfn.IFERROR(IF('Słownik PW'!$A$26=2010,"",H79/J79*100),"")</f>
        <v/>
      </c>
      <c r="M79" s="187"/>
      <c r="N79" s="399"/>
      <c r="O79" s="399"/>
      <c r="P79" s="187"/>
      <c r="Q79" s="189" t="str">
        <f>_xlfn.IFERROR(INDEX('Tabela PW'!AP:AP,B79+1,1),"")</f>
        <v/>
      </c>
      <c r="R79" s="187"/>
      <c r="S79" s="188" t="str">
        <f>IF('Słownik PW'!$A$11=FALSE,"",_xlfn.IFERROR(INDEX('Tabela PW'!$AC:$AI,B79+1,1),""))</f>
        <v/>
      </c>
      <c r="T79" s="188"/>
      <c r="U79" s="188" t="str">
        <f>IF('Słownik PW'!$A$11=FALSE,"",_xlfn.IFERROR(INDEX('Tabela PW'!$AC:$AI,B79+1,2),""))</f>
        <v/>
      </c>
      <c r="V79" s="188"/>
      <c r="W79" s="188" t="str">
        <f>IF('Słownik PW'!$A$11=FALSE,"",_xlfn.IFERROR(INDEX('Tabela PW'!$AC:$AI,B79+1,3),""))</f>
        <v/>
      </c>
      <c r="X79" s="188"/>
      <c r="Y79" s="188" t="str">
        <f>IF('Słownik PW'!$A$11=FALSE,"",_xlfn.IFERROR(INDEX('Tabela PW'!$AC:$AI,B79+1,4),""))</f>
        <v/>
      </c>
      <c r="Z79" s="193"/>
      <c r="AA79" s="188" t="str">
        <f>IF('Słownik PW'!$A$11=FALSE,"",_xlfn.IFERROR(INDEX('Tabela PW'!$AC:$AI,B79+1,5),""))</f>
        <v/>
      </c>
      <c r="AB79" s="191"/>
      <c r="AC79" s="188" t="str">
        <f>IF('Słownik PW'!$A$11=FALSE,"",_xlfn.IFERROR(INDEX('Tabela PW'!$AC:$AI,B79+1,6),""))</f>
        <v/>
      </c>
      <c r="AD79" s="191"/>
      <c r="AE79" s="188" t="str">
        <f>IF('Słownik PW'!$A$11=FALSE,"",_xlfn.IFERROR(INDEX('Tabela PW'!$AC:$AI,B79+1,7),""))</f>
        <v/>
      </c>
      <c r="AF79" s="191"/>
      <c r="AG79" s="188" t="str">
        <f>IF('Słownik PW'!$A$11=FALSE,"",_xlfn.IFERROR(INDEX('Tabela PW'!$AC:$AJ,B79+1,8),""))</f>
        <v/>
      </c>
      <c r="AH79" s="191"/>
      <c r="AI79" s="188" t="str">
        <f>IF('Słownik PW'!$A$11=FALSE,"",_xlfn.IFERROR(INDEX('Tabela PW'!$AC:$AK,B79+1,9),""))</f>
        <v/>
      </c>
      <c r="AJ79" s="191"/>
      <c r="AK79" s="188" t="str">
        <f>IF('Słownik PW'!$A$11=FALSE,"",_xlfn.IFERROR(INDEX('Tabela PW'!$AC:$AL,B79+1,10),""))</f>
        <v/>
      </c>
    </row>
    <row r="80" spans="2:37" s="182" customFormat="1" ht="22.5" customHeight="1">
      <c r="B80" s="184" t="str">
        <f t="shared" si="1"/>
        <v/>
      </c>
      <c r="D80" s="184" t="str">
        <f>_xlfn.IFERROR('Tabela PW'!Z51,"")</f>
        <v/>
      </c>
      <c r="E80" s="183"/>
      <c r="F80" s="186" t="str">
        <f>_xlfn.IFERROR('Tabela PW'!AA51,"")</f>
        <v/>
      </c>
      <c r="G80" s="184"/>
      <c r="H80" s="188" t="str">
        <f>_xlfn.IFERROR(INDEX('Tabela PW'!AC:AL,B80+1,'Słownik PW'!$A$26-2009),"")</f>
        <v/>
      </c>
      <c r="I80" s="188"/>
      <c r="J80" s="188" t="str">
        <f>_xlfn.IFERROR(IF('Słownik PW'!$A$26=2010,"",INDEX('Tabela PW'!AC:AL,B80+1,'Słownik PW'!$A$26-2010)),"")</f>
        <v/>
      </c>
      <c r="K80" s="187"/>
      <c r="L80" s="189" t="str">
        <f>_xlfn.IFERROR(IF('Słownik PW'!$A$26=2010,"",H80/J80*100),"")</f>
        <v/>
      </c>
      <c r="M80" s="187"/>
      <c r="N80" s="399"/>
      <c r="O80" s="399"/>
      <c r="P80" s="187"/>
      <c r="Q80" s="189" t="str">
        <f>_xlfn.IFERROR(INDEX('Tabela PW'!AP:AP,B80+1,1),"")</f>
        <v/>
      </c>
      <c r="R80" s="187"/>
      <c r="S80" s="188" t="str">
        <f>IF('Słownik PW'!$A$11=FALSE,"",_xlfn.IFERROR(INDEX('Tabela PW'!$AC:$AI,B80+1,1),""))</f>
        <v/>
      </c>
      <c r="T80" s="188"/>
      <c r="U80" s="188" t="str">
        <f>IF('Słownik PW'!$A$11=FALSE,"",_xlfn.IFERROR(INDEX('Tabela PW'!$AC:$AI,B80+1,2),""))</f>
        <v/>
      </c>
      <c r="V80" s="188"/>
      <c r="W80" s="188" t="str">
        <f>IF('Słownik PW'!$A$11=FALSE,"",_xlfn.IFERROR(INDEX('Tabela PW'!$AC:$AI,B80+1,3),""))</f>
        <v/>
      </c>
      <c r="X80" s="188"/>
      <c r="Y80" s="188" t="str">
        <f>IF('Słownik PW'!$A$11=FALSE,"",_xlfn.IFERROR(INDEX('Tabela PW'!$AC:$AI,B80+1,4),""))</f>
        <v/>
      </c>
      <c r="Z80" s="193"/>
      <c r="AA80" s="188" t="str">
        <f>IF('Słownik PW'!$A$11=FALSE,"",_xlfn.IFERROR(INDEX('Tabela PW'!$AC:$AI,B80+1,5),""))</f>
        <v/>
      </c>
      <c r="AB80" s="191"/>
      <c r="AC80" s="188" t="str">
        <f>IF('Słownik PW'!$A$11=FALSE,"",_xlfn.IFERROR(INDEX('Tabela PW'!$AC:$AI,B80+1,6),""))</f>
        <v/>
      </c>
      <c r="AD80" s="191"/>
      <c r="AE80" s="188" t="str">
        <f>IF('Słownik PW'!$A$11=FALSE,"",_xlfn.IFERROR(INDEX('Tabela PW'!$AC:$AI,B80+1,7),""))</f>
        <v/>
      </c>
      <c r="AF80" s="191"/>
      <c r="AG80" s="188" t="str">
        <f>IF('Słownik PW'!$A$11=FALSE,"",_xlfn.IFERROR(INDEX('Tabela PW'!$AC:$AJ,B80+1,8),""))</f>
        <v/>
      </c>
      <c r="AH80" s="191"/>
      <c r="AI80" s="188" t="str">
        <f>IF('Słownik PW'!$A$11=FALSE,"",_xlfn.IFERROR(INDEX('Tabela PW'!$AC:$AK,B80+1,9),""))</f>
        <v/>
      </c>
      <c r="AJ80" s="191"/>
      <c r="AK80" s="188" t="str">
        <f>IF('Słownik PW'!$A$11=FALSE,"",_xlfn.IFERROR(INDEX('Tabela PW'!$AC:$AL,B80+1,10),""))</f>
        <v/>
      </c>
    </row>
    <row r="81" spans="2:37" s="182" customFormat="1" ht="22.5" customHeight="1">
      <c r="B81" s="184" t="str">
        <f t="shared" si="1"/>
        <v/>
      </c>
      <c r="D81" s="184" t="str">
        <f>_xlfn.IFERROR('Tabela PW'!Z52,"")</f>
        <v/>
      </c>
      <c r="E81" s="183"/>
      <c r="F81" s="186" t="str">
        <f>_xlfn.IFERROR('Tabela PW'!AA52,"")</f>
        <v/>
      </c>
      <c r="G81" s="184"/>
      <c r="H81" s="188" t="str">
        <f>_xlfn.IFERROR(INDEX('Tabela PW'!AC:AL,B81+1,'Słownik PW'!$A$26-2009),"")</f>
        <v/>
      </c>
      <c r="I81" s="188"/>
      <c r="J81" s="188" t="str">
        <f>_xlfn.IFERROR(IF('Słownik PW'!$A$26=2010,"",INDEX('Tabela PW'!AC:AL,B81+1,'Słownik PW'!$A$26-2010)),"")</f>
        <v/>
      </c>
      <c r="K81" s="187"/>
      <c r="L81" s="189" t="str">
        <f>_xlfn.IFERROR(IF('Słownik PW'!$A$26=2010,"",H81/J81*100),"")</f>
        <v/>
      </c>
      <c r="M81" s="187"/>
      <c r="N81" s="399"/>
      <c r="O81" s="399"/>
      <c r="P81" s="187"/>
      <c r="Q81" s="189" t="str">
        <f>_xlfn.IFERROR(INDEX('Tabela PW'!AP:AP,B81+1,1),"")</f>
        <v/>
      </c>
      <c r="R81" s="187"/>
      <c r="S81" s="188" t="str">
        <f>IF('Słownik PW'!$A$11=FALSE,"",_xlfn.IFERROR(INDEX('Tabela PW'!$AC:$AI,B81+1,1),""))</f>
        <v/>
      </c>
      <c r="T81" s="188"/>
      <c r="U81" s="188" t="str">
        <f>IF('Słownik PW'!$A$11=FALSE,"",_xlfn.IFERROR(INDEX('Tabela PW'!$AC:$AI,B81+1,2),""))</f>
        <v/>
      </c>
      <c r="V81" s="188"/>
      <c r="W81" s="188" t="str">
        <f>IF('Słownik PW'!$A$11=FALSE,"",_xlfn.IFERROR(INDEX('Tabela PW'!$AC:$AI,B81+1,3),""))</f>
        <v/>
      </c>
      <c r="X81" s="188"/>
      <c r="Y81" s="188" t="str">
        <f>IF('Słownik PW'!$A$11=FALSE,"",_xlfn.IFERROR(INDEX('Tabela PW'!$AC:$AI,B81+1,4),""))</f>
        <v/>
      </c>
      <c r="Z81" s="193"/>
      <c r="AA81" s="188" t="str">
        <f>IF('Słownik PW'!$A$11=FALSE,"",_xlfn.IFERROR(INDEX('Tabela PW'!$AC:$AI,B81+1,5),""))</f>
        <v/>
      </c>
      <c r="AB81" s="191"/>
      <c r="AC81" s="188" t="str">
        <f>IF('Słownik PW'!$A$11=FALSE,"",_xlfn.IFERROR(INDEX('Tabela PW'!$AC:$AI,B81+1,6),""))</f>
        <v/>
      </c>
      <c r="AD81" s="191"/>
      <c r="AE81" s="188" t="str">
        <f>IF('Słownik PW'!$A$11=FALSE,"",_xlfn.IFERROR(INDEX('Tabela PW'!$AC:$AI,B81+1,7),""))</f>
        <v/>
      </c>
      <c r="AF81" s="191"/>
      <c r="AG81" s="188" t="str">
        <f>IF('Słownik PW'!$A$11=FALSE,"",_xlfn.IFERROR(INDEX('Tabela PW'!$AC:$AJ,B81+1,8),""))</f>
        <v/>
      </c>
      <c r="AH81" s="191"/>
      <c r="AI81" s="188" t="str">
        <f>IF('Słownik PW'!$A$11=FALSE,"",_xlfn.IFERROR(INDEX('Tabela PW'!$AC:$AK,B81+1,9),""))</f>
        <v/>
      </c>
      <c r="AJ81" s="191"/>
      <c r="AK81" s="188" t="str">
        <f>IF('Słownik PW'!$A$11=FALSE,"",_xlfn.IFERROR(INDEX('Tabela PW'!$AC:$AL,B81+1,10),""))</f>
        <v/>
      </c>
    </row>
    <row r="82" spans="2:37" s="182" customFormat="1" ht="22.5" customHeight="1">
      <c r="B82" s="184" t="str">
        <f t="shared" si="1"/>
        <v/>
      </c>
      <c r="D82" s="184" t="str">
        <f>_xlfn.IFERROR('Tabela PW'!Z53,"")</f>
        <v/>
      </c>
      <c r="E82" s="183"/>
      <c r="F82" s="186" t="str">
        <f>_xlfn.IFERROR('Tabela PW'!AA53,"")</f>
        <v/>
      </c>
      <c r="G82" s="184"/>
      <c r="H82" s="188" t="str">
        <f>_xlfn.IFERROR(INDEX('Tabela PW'!AC:AL,B82+1,'Słownik PW'!$A$26-2009),"")</f>
        <v/>
      </c>
      <c r="I82" s="188"/>
      <c r="J82" s="188" t="str">
        <f>_xlfn.IFERROR(IF('Słownik PW'!$A$26=2010,"",INDEX('Tabela PW'!AC:AL,B82+1,'Słownik PW'!$A$26-2010)),"")</f>
        <v/>
      </c>
      <c r="K82" s="187"/>
      <c r="L82" s="189" t="str">
        <f>_xlfn.IFERROR(IF('Słownik PW'!$A$26=2010,"",H82/J82*100),"")</f>
        <v/>
      </c>
      <c r="M82" s="187"/>
      <c r="N82" s="399"/>
      <c r="O82" s="399"/>
      <c r="P82" s="187"/>
      <c r="Q82" s="189" t="str">
        <f>_xlfn.IFERROR(INDEX('Tabela PW'!AP:AP,B82+1,1),"")</f>
        <v/>
      </c>
      <c r="R82" s="187"/>
      <c r="S82" s="188" t="str">
        <f>IF('Słownik PW'!$A$11=FALSE,"",_xlfn.IFERROR(INDEX('Tabela PW'!$AC:$AI,B82+1,1),""))</f>
        <v/>
      </c>
      <c r="T82" s="188"/>
      <c r="U82" s="188" t="str">
        <f>IF('Słownik PW'!$A$11=FALSE,"",_xlfn.IFERROR(INDEX('Tabela PW'!$AC:$AI,B82+1,2),""))</f>
        <v/>
      </c>
      <c r="V82" s="188"/>
      <c r="W82" s="188" t="str">
        <f>IF('Słownik PW'!$A$11=FALSE,"",_xlfn.IFERROR(INDEX('Tabela PW'!$AC:$AI,B82+1,3),""))</f>
        <v/>
      </c>
      <c r="X82" s="188"/>
      <c r="Y82" s="188" t="str">
        <f>IF('Słownik PW'!$A$11=FALSE,"",_xlfn.IFERROR(INDEX('Tabela PW'!$AC:$AI,B82+1,4),""))</f>
        <v/>
      </c>
      <c r="Z82" s="193"/>
      <c r="AA82" s="188" t="str">
        <f>IF('Słownik PW'!$A$11=FALSE,"",_xlfn.IFERROR(INDEX('Tabela PW'!$AC:$AI,B82+1,5),""))</f>
        <v/>
      </c>
      <c r="AB82" s="191"/>
      <c r="AC82" s="188" t="str">
        <f>IF('Słownik PW'!$A$11=FALSE,"",_xlfn.IFERROR(INDEX('Tabela PW'!$AC:$AI,B82+1,6),""))</f>
        <v/>
      </c>
      <c r="AD82" s="191"/>
      <c r="AE82" s="188" t="str">
        <f>IF('Słownik PW'!$A$11=FALSE,"",_xlfn.IFERROR(INDEX('Tabela PW'!$AC:$AI,B82+1,7),""))</f>
        <v/>
      </c>
      <c r="AF82" s="191"/>
      <c r="AG82" s="188" t="str">
        <f>IF('Słownik PW'!$A$11=FALSE,"",_xlfn.IFERROR(INDEX('Tabela PW'!$AC:$AJ,B82+1,8),""))</f>
        <v/>
      </c>
      <c r="AH82" s="191"/>
      <c r="AI82" s="188" t="str">
        <f>IF('Słownik PW'!$A$11=FALSE,"",_xlfn.IFERROR(INDEX('Tabela PW'!$AC:$AK,B82+1,9),""))</f>
        <v/>
      </c>
      <c r="AJ82" s="191"/>
      <c r="AK82" s="188" t="str">
        <f>IF('Słownik PW'!$A$11=FALSE,"",_xlfn.IFERROR(INDEX('Tabela PW'!$AC:$AL,B82+1,10),""))</f>
        <v/>
      </c>
    </row>
    <row r="83" spans="2:37" s="182" customFormat="1" ht="22.5" customHeight="1">
      <c r="B83" s="184" t="str">
        <f t="shared" si="1"/>
        <v/>
      </c>
      <c r="D83" s="184" t="str">
        <f>_xlfn.IFERROR('Tabela PW'!Z54,"")</f>
        <v/>
      </c>
      <c r="E83" s="183"/>
      <c r="F83" s="186" t="str">
        <f>_xlfn.IFERROR('Tabela PW'!AA54,"")</f>
        <v/>
      </c>
      <c r="G83" s="184"/>
      <c r="H83" s="188" t="str">
        <f>_xlfn.IFERROR(INDEX('Tabela PW'!AC:AL,B83+1,'Słownik PW'!$A$26-2009),"")</f>
        <v/>
      </c>
      <c r="I83" s="188"/>
      <c r="J83" s="188" t="str">
        <f>_xlfn.IFERROR(IF('Słownik PW'!$A$26=2010,"",INDEX('Tabela PW'!AC:AL,B83+1,'Słownik PW'!$A$26-2010)),"")</f>
        <v/>
      </c>
      <c r="K83" s="187"/>
      <c r="L83" s="189" t="str">
        <f>_xlfn.IFERROR(IF('Słownik PW'!$A$26=2010,"",H83/J83*100),"")</f>
        <v/>
      </c>
      <c r="M83" s="187"/>
      <c r="N83" s="399"/>
      <c r="O83" s="399"/>
      <c r="P83" s="187"/>
      <c r="Q83" s="189" t="str">
        <f>_xlfn.IFERROR(INDEX('Tabela PW'!AP:AP,B83+1,1),"")</f>
        <v/>
      </c>
      <c r="R83" s="187"/>
      <c r="S83" s="188" t="str">
        <f>IF('Słownik PW'!$A$11=FALSE,"",_xlfn.IFERROR(INDEX('Tabela PW'!$AC:$AI,B83+1,1),""))</f>
        <v/>
      </c>
      <c r="T83" s="188"/>
      <c r="U83" s="188" t="str">
        <f>IF('Słownik PW'!$A$11=FALSE,"",_xlfn.IFERROR(INDEX('Tabela PW'!$AC:$AI,B83+1,2),""))</f>
        <v/>
      </c>
      <c r="V83" s="188"/>
      <c r="W83" s="188" t="str">
        <f>IF('Słownik PW'!$A$11=FALSE,"",_xlfn.IFERROR(INDEX('Tabela PW'!$AC:$AI,B83+1,3),""))</f>
        <v/>
      </c>
      <c r="X83" s="188"/>
      <c r="Y83" s="188" t="str">
        <f>IF('Słownik PW'!$A$11=FALSE,"",_xlfn.IFERROR(INDEX('Tabela PW'!$AC:$AI,B83+1,4),""))</f>
        <v/>
      </c>
      <c r="Z83" s="193"/>
      <c r="AA83" s="188" t="str">
        <f>IF('Słownik PW'!$A$11=FALSE,"",_xlfn.IFERROR(INDEX('Tabela PW'!$AC:$AI,B83+1,5),""))</f>
        <v/>
      </c>
      <c r="AB83" s="191"/>
      <c r="AC83" s="188" t="str">
        <f>IF('Słownik PW'!$A$11=FALSE,"",_xlfn.IFERROR(INDEX('Tabela PW'!$AC:$AI,B83+1,6),""))</f>
        <v/>
      </c>
      <c r="AD83" s="191"/>
      <c r="AE83" s="188" t="str">
        <f>IF('Słownik PW'!$A$11=FALSE,"",_xlfn.IFERROR(INDEX('Tabela PW'!$AC:$AI,B83+1,7),""))</f>
        <v/>
      </c>
      <c r="AF83" s="191"/>
      <c r="AG83" s="188" t="str">
        <f>IF('Słownik PW'!$A$11=FALSE,"",_xlfn.IFERROR(INDEX('Tabela PW'!$AC:$AJ,B83+1,8),""))</f>
        <v/>
      </c>
      <c r="AH83" s="191"/>
      <c r="AI83" s="188" t="str">
        <f>IF('Słownik PW'!$A$11=FALSE,"",_xlfn.IFERROR(INDEX('Tabela PW'!$AC:$AK,B83+1,9),""))</f>
        <v/>
      </c>
      <c r="AJ83" s="191"/>
      <c r="AK83" s="188" t="str">
        <f>IF('Słownik PW'!$A$11=FALSE,"",_xlfn.IFERROR(INDEX('Tabela PW'!$AC:$AL,B83+1,10),""))</f>
        <v/>
      </c>
    </row>
    <row r="84" spans="2:37" s="182" customFormat="1" ht="22.5" customHeight="1">
      <c r="B84" s="184" t="str">
        <f t="shared" si="1"/>
        <v/>
      </c>
      <c r="D84" s="184" t="str">
        <f>_xlfn.IFERROR('Tabela PW'!Z55,"")</f>
        <v/>
      </c>
      <c r="E84" s="183"/>
      <c r="F84" s="186" t="str">
        <f>_xlfn.IFERROR('Tabela PW'!AA55,"")</f>
        <v/>
      </c>
      <c r="G84" s="184"/>
      <c r="H84" s="188" t="str">
        <f>_xlfn.IFERROR(INDEX('Tabela PW'!AC:AL,B84+1,'Słownik PW'!$A$26-2009),"")</f>
        <v/>
      </c>
      <c r="I84" s="188"/>
      <c r="J84" s="188" t="str">
        <f>_xlfn.IFERROR(IF('Słownik PW'!$A$26=2010,"",INDEX('Tabela PW'!AC:AL,B84+1,'Słownik PW'!$A$26-2010)),"")</f>
        <v/>
      </c>
      <c r="K84" s="187"/>
      <c r="L84" s="189" t="str">
        <f>_xlfn.IFERROR(IF('Słownik PW'!$A$26=2010,"",H84/J84*100),"")</f>
        <v/>
      </c>
      <c r="M84" s="187"/>
      <c r="N84" s="399"/>
      <c r="O84" s="399"/>
      <c r="P84" s="187"/>
      <c r="Q84" s="189" t="str">
        <f>_xlfn.IFERROR(INDEX('Tabela PW'!AP:AP,B84+1,1),"")</f>
        <v/>
      </c>
      <c r="R84" s="187"/>
      <c r="S84" s="188" t="str">
        <f>IF('Słownik PW'!$A$11=FALSE,"",_xlfn.IFERROR(INDEX('Tabela PW'!$AC:$AI,B84+1,1),""))</f>
        <v/>
      </c>
      <c r="T84" s="188"/>
      <c r="U84" s="188" t="str">
        <f>IF('Słownik PW'!$A$11=FALSE,"",_xlfn.IFERROR(INDEX('Tabela PW'!$AC:$AI,B84+1,2),""))</f>
        <v/>
      </c>
      <c r="V84" s="188"/>
      <c r="W84" s="188" t="str">
        <f>IF('Słownik PW'!$A$11=FALSE,"",_xlfn.IFERROR(INDEX('Tabela PW'!$AC:$AI,B84+1,3),""))</f>
        <v/>
      </c>
      <c r="X84" s="188"/>
      <c r="Y84" s="188" t="str">
        <f>IF('Słownik PW'!$A$11=FALSE,"",_xlfn.IFERROR(INDEX('Tabela PW'!$AC:$AI,B84+1,4),""))</f>
        <v/>
      </c>
      <c r="Z84" s="193"/>
      <c r="AA84" s="188" t="str">
        <f>IF('Słownik PW'!$A$11=FALSE,"",_xlfn.IFERROR(INDEX('Tabela PW'!$AC:$AI,B84+1,5),""))</f>
        <v/>
      </c>
      <c r="AB84" s="191"/>
      <c r="AC84" s="188" t="str">
        <f>IF('Słownik PW'!$A$11=FALSE,"",_xlfn.IFERROR(INDEX('Tabela PW'!$AC:$AI,B84+1,6),""))</f>
        <v/>
      </c>
      <c r="AD84" s="191"/>
      <c r="AE84" s="188" t="str">
        <f>IF('Słownik PW'!$A$11=FALSE,"",_xlfn.IFERROR(INDEX('Tabela PW'!$AC:$AI,B84+1,7),""))</f>
        <v/>
      </c>
      <c r="AF84" s="191"/>
      <c r="AG84" s="188" t="str">
        <f>IF('Słownik PW'!$A$11=FALSE,"",_xlfn.IFERROR(INDEX('Tabela PW'!$AC:$AJ,B84+1,8),""))</f>
        <v/>
      </c>
      <c r="AH84" s="191"/>
      <c r="AI84" s="188" t="str">
        <f>IF('Słownik PW'!$A$11=FALSE,"",_xlfn.IFERROR(INDEX('Tabela PW'!$AC:$AK,B84+1,9),""))</f>
        <v/>
      </c>
      <c r="AJ84" s="191"/>
      <c r="AK84" s="188" t="str">
        <f>IF('Słownik PW'!$A$11=FALSE,"",_xlfn.IFERROR(INDEX('Tabela PW'!$AC:$AL,B84+1,10),""))</f>
        <v/>
      </c>
    </row>
    <row r="85" spans="2:37" s="182" customFormat="1" ht="22.5" customHeight="1">
      <c r="B85" s="184" t="str">
        <f t="shared" si="1"/>
        <v/>
      </c>
      <c r="D85" s="184" t="str">
        <f>_xlfn.IFERROR('Tabela PW'!Z56,"")</f>
        <v/>
      </c>
      <c r="E85" s="183"/>
      <c r="F85" s="186" t="str">
        <f>_xlfn.IFERROR('Tabela PW'!AA56,"")</f>
        <v/>
      </c>
      <c r="G85" s="184"/>
      <c r="H85" s="188" t="str">
        <f>_xlfn.IFERROR(INDEX('Tabela PW'!AC:AL,B85+1,'Słownik PW'!$A$26-2009),"")</f>
        <v/>
      </c>
      <c r="I85" s="188"/>
      <c r="J85" s="188" t="str">
        <f>_xlfn.IFERROR(IF('Słownik PW'!$A$26=2010,"",INDEX('Tabela PW'!AC:AL,B85+1,'Słownik PW'!$A$26-2010)),"")</f>
        <v/>
      </c>
      <c r="K85" s="187"/>
      <c r="L85" s="189" t="str">
        <f>_xlfn.IFERROR(IF('Słownik PW'!$A$26=2010,"",H85/J85*100),"")</f>
        <v/>
      </c>
      <c r="M85" s="187"/>
      <c r="N85" s="399"/>
      <c r="O85" s="399"/>
      <c r="P85" s="187"/>
      <c r="Q85" s="189" t="str">
        <f>_xlfn.IFERROR(INDEX('Tabela PW'!AP:AP,B85+1,1),"")</f>
        <v/>
      </c>
      <c r="R85" s="187"/>
      <c r="S85" s="188" t="str">
        <f>IF('Słownik PW'!$A$11=FALSE,"",_xlfn.IFERROR(INDEX('Tabela PW'!$AC:$AI,B85+1,1),""))</f>
        <v/>
      </c>
      <c r="T85" s="188"/>
      <c r="U85" s="188" t="str">
        <f>IF('Słownik PW'!$A$11=FALSE,"",_xlfn.IFERROR(INDEX('Tabela PW'!$AC:$AI,B85+1,2),""))</f>
        <v/>
      </c>
      <c r="V85" s="188"/>
      <c r="W85" s="188" t="str">
        <f>IF('Słownik PW'!$A$11=FALSE,"",_xlfn.IFERROR(INDEX('Tabela PW'!$AC:$AI,B85+1,3),""))</f>
        <v/>
      </c>
      <c r="X85" s="188"/>
      <c r="Y85" s="188" t="str">
        <f>IF('Słownik PW'!$A$11=FALSE,"",_xlfn.IFERROR(INDEX('Tabela PW'!$AC:$AI,B85+1,4),""))</f>
        <v/>
      </c>
      <c r="Z85" s="193"/>
      <c r="AA85" s="188" t="str">
        <f>IF('Słownik PW'!$A$11=FALSE,"",_xlfn.IFERROR(INDEX('Tabela PW'!$AC:$AI,B85+1,5),""))</f>
        <v/>
      </c>
      <c r="AB85" s="191"/>
      <c r="AC85" s="188" t="str">
        <f>IF('Słownik PW'!$A$11=FALSE,"",_xlfn.IFERROR(INDEX('Tabela PW'!$AC:$AI,B85+1,6),""))</f>
        <v/>
      </c>
      <c r="AD85" s="191"/>
      <c r="AE85" s="188" t="str">
        <f>IF('Słownik PW'!$A$11=FALSE,"",_xlfn.IFERROR(INDEX('Tabela PW'!$AC:$AI,B85+1,7),""))</f>
        <v/>
      </c>
      <c r="AF85" s="191"/>
      <c r="AG85" s="188" t="str">
        <f>IF('Słownik PW'!$A$11=FALSE,"",_xlfn.IFERROR(INDEX('Tabela PW'!$AC:$AJ,B85+1,8),""))</f>
        <v/>
      </c>
      <c r="AH85" s="191"/>
      <c r="AI85" s="188" t="str">
        <f>IF('Słownik PW'!$A$11=FALSE,"",_xlfn.IFERROR(INDEX('Tabela PW'!$AC:$AK,B85+1,9),""))</f>
        <v/>
      </c>
      <c r="AJ85" s="191"/>
      <c r="AK85" s="188" t="str">
        <f>IF('Słownik PW'!$A$11=FALSE,"",_xlfn.IFERROR(INDEX('Tabela PW'!$AC:$AL,B85+1,10),""))</f>
        <v/>
      </c>
    </row>
    <row r="86" spans="2:37" s="182" customFormat="1" ht="22.5" customHeight="1">
      <c r="B86" s="184" t="str">
        <f t="shared" si="1"/>
        <v/>
      </c>
      <c r="D86" s="184" t="str">
        <f>_xlfn.IFERROR('Tabela PW'!Z57,"")</f>
        <v/>
      </c>
      <c r="E86" s="183"/>
      <c r="F86" s="186" t="str">
        <f>_xlfn.IFERROR('Tabela PW'!AA57,"")</f>
        <v/>
      </c>
      <c r="G86" s="184"/>
      <c r="H86" s="188" t="str">
        <f>_xlfn.IFERROR(INDEX('Tabela PW'!AC:AL,B86+1,'Słownik PW'!$A$26-2009),"")</f>
        <v/>
      </c>
      <c r="I86" s="188"/>
      <c r="J86" s="188" t="str">
        <f>_xlfn.IFERROR(IF('Słownik PW'!$A$26=2010,"",INDEX('Tabela PW'!AC:AL,B86+1,'Słownik PW'!$A$26-2010)),"")</f>
        <v/>
      </c>
      <c r="K86" s="187"/>
      <c r="L86" s="189" t="str">
        <f>_xlfn.IFERROR(IF('Słownik PW'!$A$26=2010,"",H86/J86*100),"")</f>
        <v/>
      </c>
      <c r="M86" s="187"/>
      <c r="N86" s="399"/>
      <c r="O86" s="399"/>
      <c r="P86" s="187"/>
      <c r="Q86" s="189" t="str">
        <f>_xlfn.IFERROR(INDEX('Tabela PW'!AP:AP,B86+1,1),"")</f>
        <v/>
      </c>
      <c r="R86" s="187"/>
      <c r="S86" s="188" t="str">
        <f>IF('Słownik PW'!$A$11=FALSE,"",_xlfn.IFERROR(INDEX('Tabela PW'!$AC:$AI,B86+1,1),""))</f>
        <v/>
      </c>
      <c r="T86" s="188"/>
      <c r="U86" s="188" t="str">
        <f>IF('Słownik PW'!$A$11=FALSE,"",_xlfn.IFERROR(INDEX('Tabela PW'!$AC:$AI,B86+1,2),""))</f>
        <v/>
      </c>
      <c r="V86" s="188"/>
      <c r="W86" s="188" t="str">
        <f>IF('Słownik PW'!$A$11=FALSE,"",_xlfn.IFERROR(INDEX('Tabela PW'!$AC:$AI,B86+1,3),""))</f>
        <v/>
      </c>
      <c r="X86" s="188"/>
      <c r="Y86" s="188" t="str">
        <f>IF('Słownik PW'!$A$11=FALSE,"",_xlfn.IFERROR(INDEX('Tabela PW'!$AC:$AI,B86+1,4),""))</f>
        <v/>
      </c>
      <c r="Z86" s="193"/>
      <c r="AA86" s="188" t="str">
        <f>IF('Słownik PW'!$A$11=FALSE,"",_xlfn.IFERROR(INDEX('Tabela PW'!$AC:$AI,B86+1,5),""))</f>
        <v/>
      </c>
      <c r="AB86" s="191"/>
      <c r="AC86" s="188" t="str">
        <f>IF('Słownik PW'!$A$11=FALSE,"",_xlfn.IFERROR(INDEX('Tabela PW'!$AC:$AI,B86+1,6),""))</f>
        <v/>
      </c>
      <c r="AD86" s="191"/>
      <c r="AE86" s="188" t="str">
        <f>IF('Słownik PW'!$A$11=FALSE,"",_xlfn.IFERROR(INDEX('Tabela PW'!$AC:$AI,B86+1,7),""))</f>
        <v/>
      </c>
      <c r="AF86" s="191"/>
      <c r="AG86" s="188" t="str">
        <f>IF('Słownik PW'!$A$11=FALSE,"",_xlfn.IFERROR(INDEX('Tabela PW'!$AC:$AJ,B86+1,8),""))</f>
        <v/>
      </c>
      <c r="AH86" s="191"/>
      <c r="AI86" s="188" t="str">
        <f>IF('Słownik PW'!$A$11=FALSE,"",_xlfn.IFERROR(INDEX('Tabela PW'!$AC:$AK,B86+1,9),""))</f>
        <v/>
      </c>
      <c r="AJ86" s="191"/>
      <c r="AK86" s="188" t="str">
        <f>IF('Słownik PW'!$A$11=FALSE,"",_xlfn.IFERROR(INDEX('Tabela PW'!$AC:$AL,B86+1,10),""))</f>
        <v/>
      </c>
    </row>
    <row r="87" spans="2:37" s="182" customFormat="1" ht="22.5" customHeight="1">
      <c r="B87" s="184" t="str">
        <f t="shared" si="1"/>
        <v/>
      </c>
      <c r="D87" s="184" t="str">
        <f>_xlfn.IFERROR('Tabela PW'!Z58,"")</f>
        <v/>
      </c>
      <c r="E87" s="183"/>
      <c r="F87" s="186" t="str">
        <f>_xlfn.IFERROR('Tabela PW'!AA58,"")</f>
        <v/>
      </c>
      <c r="G87" s="184"/>
      <c r="H87" s="188" t="str">
        <f>_xlfn.IFERROR(INDEX('Tabela PW'!AC:AL,B87+1,'Słownik PW'!$A$26-2009),"")</f>
        <v/>
      </c>
      <c r="I87" s="188"/>
      <c r="J87" s="188" t="str">
        <f>_xlfn.IFERROR(IF('Słownik PW'!$A$26=2010,"",INDEX('Tabela PW'!AC:AL,B87+1,'Słownik PW'!$A$26-2010)),"")</f>
        <v/>
      </c>
      <c r="K87" s="187"/>
      <c r="L87" s="189" t="str">
        <f>_xlfn.IFERROR(IF('Słownik PW'!$A$26=2010,"",H87/J87*100),"")</f>
        <v/>
      </c>
      <c r="M87" s="187"/>
      <c r="N87" s="399"/>
      <c r="O87" s="399"/>
      <c r="P87" s="187"/>
      <c r="Q87" s="189" t="str">
        <f>_xlfn.IFERROR(INDEX('Tabela PW'!AP:AP,B87+1,1),"")</f>
        <v/>
      </c>
      <c r="R87" s="187"/>
      <c r="S87" s="188" t="str">
        <f>IF('Słownik PW'!$A$11=FALSE,"",_xlfn.IFERROR(INDEX('Tabela PW'!$AC:$AI,B87+1,1),""))</f>
        <v/>
      </c>
      <c r="T87" s="188"/>
      <c r="U87" s="188" t="str">
        <f>IF('Słownik PW'!$A$11=FALSE,"",_xlfn.IFERROR(INDEX('Tabela PW'!$AC:$AI,B87+1,2),""))</f>
        <v/>
      </c>
      <c r="V87" s="188"/>
      <c r="W87" s="188" t="str">
        <f>IF('Słownik PW'!$A$11=FALSE,"",_xlfn.IFERROR(INDEX('Tabela PW'!$AC:$AI,B87+1,3),""))</f>
        <v/>
      </c>
      <c r="X87" s="188"/>
      <c r="Y87" s="188" t="str">
        <f>IF('Słownik PW'!$A$11=FALSE,"",_xlfn.IFERROR(INDEX('Tabela PW'!$AC:$AI,B87+1,4),""))</f>
        <v/>
      </c>
      <c r="Z87" s="193"/>
      <c r="AA87" s="188" t="str">
        <f>IF('Słownik PW'!$A$11=FALSE,"",_xlfn.IFERROR(INDEX('Tabela PW'!$AC:$AI,B87+1,5),""))</f>
        <v/>
      </c>
      <c r="AB87" s="191"/>
      <c r="AC87" s="188" t="str">
        <f>IF('Słownik PW'!$A$11=FALSE,"",_xlfn.IFERROR(INDEX('Tabela PW'!$AC:$AI,B87+1,6),""))</f>
        <v/>
      </c>
      <c r="AD87" s="191"/>
      <c r="AE87" s="188" t="str">
        <f>IF('Słownik PW'!$A$11=FALSE,"",_xlfn.IFERROR(INDEX('Tabela PW'!$AC:$AI,B87+1,7),""))</f>
        <v/>
      </c>
      <c r="AF87" s="191"/>
      <c r="AG87" s="188" t="str">
        <f>IF('Słownik PW'!$A$11=FALSE,"",_xlfn.IFERROR(INDEX('Tabela PW'!$AC:$AJ,B87+1,8),""))</f>
        <v/>
      </c>
      <c r="AH87" s="191"/>
      <c r="AI87" s="188" t="str">
        <f>IF('Słownik PW'!$A$11=FALSE,"",_xlfn.IFERROR(INDEX('Tabela PW'!$AC:$AK,B87+1,9),""))</f>
        <v/>
      </c>
      <c r="AJ87" s="191"/>
      <c r="AK87" s="188" t="str">
        <f>IF('Słownik PW'!$A$11=FALSE,"",_xlfn.IFERROR(INDEX('Tabela PW'!$AC:$AL,B87+1,10),""))</f>
        <v/>
      </c>
    </row>
    <row r="88" spans="2:37" s="182" customFormat="1" ht="22.5" customHeight="1">
      <c r="B88" s="184" t="str">
        <f t="shared" si="1"/>
        <v/>
      </c>
      <c r="D88" s="184" t="str">
        <f>_xlfn.IFERROR('Tabela PW'!Z59,"")</f>
        <v/>
      </c>
      <c r="E88" s="183"/>
      <c r="F88" s="186" t="str">
        <f>_xlfn.IFERROR('Tabela PW'!AA59,"")</f>
        <v/>
      </c>
      <c r="G88" s="184"/>
      <c r="H88" s="188" t="str">
        <f>_xlfn.IFERROR(INDEX('Tabela PW'!AC:AL,B88+1,'Słownik PW'!$A$26-2009),"")</f>
        <v/>
      </c>
      <c r="I88" s="188"/>
      <c r="J88" s="188" t="str">
        <f>_xlfn.IFERROR(IF('Słownik PW'!$A$26=2010,"",INDEX('Tabela PW'!AC:AL,B88+1,'Słownik PW'!$A$26-2010)),"")</f>
        <v/>
      </c>
      <c r="K88" s="187"/>
      <c r="L88" s="189" t="str">
        <f>_xlfn.IFERROR(IF('Słownik PW'!$A$26=2010,"",H88/J88*100),"")</f>
        <v/>
      </c>
      <c r="M88" s="187"/>
      <c r="N88" s="399"/>
      <c r="O88" s="399"/>
      <c r="P88" s="187"/>
      <c r="Q88" s="189" t="str">
        <f>_xlfn.IFERROR(INDEX('Tabela PW'!AP:AP,B88+1,1),"")</f>
        <v/>
      </c>
      <c r="R88" s="187"/>
      <c r="S88" s="188" t="str">
        <f>IF('Słownik PW'!$A$11=FALSE,"",_xlfn.IFERROR(INDEX('Tabela PW'!$AC:$AI,B88+1,1),""))</f>
        <v/>
      </c>
      <c r="T88" s="188"/>
      <c r="U88" s="188" t="str">
        <f>IF('Słownik PW'!$A$11=FALSE,"",_xlfn.IFERROR(INDEX('Tabela PW'!$AC:$AI,B88+1,2),""))</f>
        <v/>
      </c>
      <c r="V88" s="188"/>
      <c r="W88" s="188" t="str">
        <f>IF('Słownik PW'!$A$11=FALSE,"",_xlfn.IFERROR(INDEX('Tabela PW'!$AC:$AI,B88+1,3),""))</f>
        <v/>
      </c>
      <c r="X88" s="188"/>
      <c r="Y88" s="188" t="str">
        <f>IF('Słownik PW'!$A$11=FALSE,"",_xlfn.IFERROR(INDEX('Tabela PW'!$AC:$AI,B88+1,4),""))</f>
        <v/>
      </c>
      <c r="Z88" s="193"/>
      <c r="AA88" s="188" t="str">
        <f>IF('Słownik PW'!$A$11=FALSE,"",_xlfn.IFERROR(INDEX('Tabela PW'!$AC:$AI,B88+1,5),""))</f>
        <v/>
      </c>
      <c r="AB88" s="191"/>
      <c r="AC88" s="188" t="str">
        <f>IF('Słownik PW'!$A$11=FALSE,"",_xlfn.IFERROR(INDEX('Tabela PW'!$AC:$AI,B88+1,6),""))</f>
        <v/>
      </c>
      <c r="AD88" s="191"/>
      <c r="AE88" s="188" t="str">
        <f>IF('Słownik PW'!$A$11=FALSE,"",_xlfn.IFERROR(INDEX('Tabela PW'!$AC:$AI,B88+1,7),""))</f>
        <v/>
      </c>
      <c r="AF88" s="191"/>
      <c r="AG88" s="188" t="str">
        <f>IF('Słownik PW'!$A$11=FALSE,"",_xlfn.IFERROR(INDEX('Tabela PW'!$AC:$AJ,B88+1,8),""))</f>
        <v/>
      </c>
      <c r="AH88" s="191"/>
      <c r="AI88" s="188" t="str">
        <f>IF('Słownik PW'!$A$11=FALSE,"",_xlfn.IFERROR(INDEX('Tabela PW'!$AC:$AK,B88+1,9),""))</f>
        <v/>
      </c>
      <c r="AJ88" s="191"/>
      <c r="AK88" s="188" t="str">
        <f>IF('Słownik PW'!$A$11=FALSE,"",_xlfn.IFERROR(INDEX('Tabela PW'!$AC:$AL,B88+1,10),""))</f>
        <v/>
      </c>
    </row>
    <row r="89" spans="2:37" s="182" customFormat="1" ht="22.5" customHeight="1">
      <c r="B89" s="184" t="str">
        <f t="shared" si="1"/>
        <v/>
      </c>
      <c r="D89" s="184" t="str">
        <f>_xlfn.IFERROR('Tabela PW'!Z60,"")</f>
        <v/>
      </c>
      <c r="E89" s="183"/>
      <c r="F89" s="186" t="str">
        <f>_xlfn.IFERROR('Tabela PW'!AA60,"")</f>
        <v/>
      </c>
      <c r="G89" s="184"/>
      <c r="H89" s="188" t="str">
        <f>_xlfn.IFERROR(INDEX('Tabela PW'!AC:AL,B89+1,'Słownik PW'!$A$26-2009),"")</f>
        <v/>
      </c>
      <c r="I89" s="188"/>
      <c r="J89" s="188" t="str">
        <f>_xlfn.IFERROR(IF('Słownik PW'!$A$26=2010,"",INDEX('Tabela PW'!AC:AL,B89+1,'Słownik PW'!$A$26-2010)),"")</f>
        <v/>
      </c>
      <c r="K89" s="187"/>
      <c r="L89" s="189" t="str">
        <f>_xlfn.IFERROR(IF('Słownik PW'!$A$26=2010,"",H89/J89*100),"")</f>
        <v/>
      </c>
      <c r="M89" s="187"/>
      <c r="N89" s="399"/>
      <c r="O89" s="399"/>
      <c r="P89" s="187"/>
      <c r="Q89" s="189" t="str">
        <f>_xlfn.IFERROR(INDEX('Tabela PW'!AP:AP,B89+1,1),"")</f>
        <v/>
      </c>
      <c r="R89" s="187"/>
      <c r="S89" s="188" t="str">
        <f>IF('Słownik PW'!$A$11=FALSE,"",_xlfn.IFERROR(INDEX('Tabela PW'!$AC:$AI,B89+1,1),""))</f>
        <v/>
      </c>
      <c r="T89" s="188"/>
      <c r="U89" s="188" t="str">
        <f>IF('Słownik PW'!$A$11=FALSE,"",_xlfn.IFERROR(INDEX('Tabela PW'!$AC:$AI,B89+1,2),""))</f>
        <v/>
      </c>
      <c r="V89" s="188"/>
      <c r="W89" s="188" t="str">
        <f>IF('Słownik PW'!$A$11=FALSE,"",_xlfn.IFERROR(INDEX('Tabela PW'!$AC:$AI,B89+1,3),""))</f>
        <v/>
      </c>
      <c r="X89" s="188"/>
      <c r="Y89" s="188" t="str">
        <f>IF('Słownik PW'!$A$11=FALSE,"",_xlfn.IFERROR(INDEX('Tabela PW'!$AC:$AI,B89+1,4),""))</f>
        <v/>
      </c>
      <c r="Z89" s="193"/>
      <c r="AA89" s="188" t="str">
        <f>IF('Słownik PW'!$A$11=FALSE,"",_xlfn.IFERROR(INDEX('Tabela PW'!$AC:$AI,B89+1,5),""))</f>
        <v/>
      </c>
      <c r="AB89" s="191"/>
      <c r="AC89" s="188" t="str">
        <f>IF('Słownik PW'!$A$11=FALSE,"",_xlfn.IFERROR(INDEX('Tabela PW'!$AC:$AI,B89+1,6),""))</f>
        <v/>
      </c>
      <c r="AD89" s="191"/>
      <c r="AE89" s="188" t="str">
        <f>IF('Słownik PW'!$A$11=FALSE,"",_xlfn.IFERROR(INDEX('Tabela PW'!$AC:$AI,B89+1,7),""))</f>
        <v/>
      </c>
      <c r="AF89" s="191"/>
      <c r="AG89" s="188" t="str">
        <f>IF('Słownik PW'!$A$11=FALSE,"",_xlfn.IFERROR(INDEX('Tabela PW'!$AC:$AJ,B89+1,8),""))</f>
        <v/>
      </c>
      <c r="AH89" s="191"/>
      <c r="AI89" s="188" t="str">
        <f>IF('Słownik PW'!$A$11=FALSE,"",_xlfn.IFERROR(INDEX('Tabela PW'!$AC:$AK,B89+1,9),""))</f>
        <v/>
      </c>
      <c r="AJ89" s="191"/>
      <c r="AK89" s="188" t="str">
        <f>IF('Słownik PW'!$A$11=FALSE,"",_xlfn.IFERROR(INDEX('Tabela PW'!$AC:$AL,B89+1,10),""))</f>
        <v/>
      </c>
    </row>
    <row r="90" spans="2:37" s="182" customFormat="1" ht="22.5" customHeight="1">
      <c r="B90" s="184" t="str">
        <f t="shared" si="1"/>
        <v/>
      </c>
      <c r="D90" s="184" t="str">
        <f>_xlfn.IFERROR('Tabela PW'!Z61,"")</f>
        <v/>
      </c>
      <c r="E90" s="183"/>
      <c r="F90" s="186" t="str">
        <f>_xlfn.IFERROR('Tabela PW'!AA61,"")</f>
        <v/>
      </c>
      <c r="G90" s="184"/>
      <c r="H90" s="188" t="str">
        <f>_xlfn.IFERROR(INDEX('Tabela PW'!AC:AL,B90+1,'Słownik PW'!$A$26-2009),"")</f>
        <v/>
      </c>
      <c r="I90" s="188"/>
      <c r="J90" s="188" t="str">
        <f>_xlfn.IFERROR(IF('Słownik PW'!$A$26=2010,"",INDEX('Tabela PW'!AC:AL,B90+1,'Słownik PW'!$A$26-2010)),"")</f>
        <v/>
      </c>
      <c r="K90" s="187"/>
      <c r="L90" s="189" t="str">
        <f>_xlfn.IFERROR(IF('Słownik PW'!$A$26=2010,"",H90/J90*100),"")</f>
        <v/>
      </c>
      <c r="M90" s="187"/>
      <c r="N90" s="399"/>
      <c r="O90" s="399"/>
      <c r="P90" s="187"/>
      <c r="Q90" s="189" t="str">
        <f>_xlfn.IFERROR(INDEX('Tabela PW'!AP:AP,B90+1,1),"")</f>
        <v/>
      </c>
      <c r="R90" s="187"/>
      <c r="S90" s="188" t="str">
        <f>IF('Słownik PW'!$A$11=FALSE,"",_xlfn.IFERROR(INDEX('Tabela PW'!$AC:$AI,B90+1,1),""))</f>
        <v/>
      </c>
      <c r="T90" s="188"/>
      <c r="U90" s="188" t="str">
        <f>IF('Słownik PW'!$A$11=FALSE,"",_xlfn.IFERROR(INDEX('Tabela PW'!$AC:$AI,B90+1,2),""))</f>
        <v/>
      </c>
      <c r="V90" s="188"/>
      <c r="W90" s="188" t="str">
        <f>IF('Słownik PW'!$A$11=FALSE,"",_xlfn.IFERROR(INDEX('Tabela PW'!$AC:$AI,B90+1,3),""))</f>
        <v/>
      </c>
      <c r="X90" s="188"/>
      <c r="Y90" s="188" t="str">
        <f>IF('Słownik PW'!$A$11=FALSE,"",_xlfn.IFERROR(INDEX('Tabela PW'!$AC:$AI,B90+1,4),""))</f>
        <v/>
      </c>
      <c r="Z90" s="193"/>
      <c r="AA90" s="188" t="str">
        <f>IF('Słownik PW'!$A$11=FALSE,"",_xlfn.IFERROR(INDEX('Tabela PW'!$AC:$AI,B90+1,5),""))</f>
        <v/>
      </c>
      <c r="AB90" s="191"/>
      <c r="AC90" s="188" t="str">
        <f>IF('Słownik PW'!$A$11=FALSE,"",_xlfn.IFERROR(INDEX('Tabela PW'!$AC:$AI,B90+1,6),""))</f>
        <v/>
      </c>
      <c r="AD90" s="191"/>
      <c r="AE90" s="188" t="str">
        <f>IF('Słownik PW'!$A$11=FALSE,"",_xlfn.IFERROR(INDEX('Tabela PW'!$AC:$AI,B90+1,7),""))</f>
        <v/>
      </c>
      <c r="AF90" s="191"/>
      <c r="AG90" s="188" t="str">
        <f>IF('Słownik PW'!$A$11=FALSE,"",_xlfn.IFERROR(INDEX('Tabela PW'!$AC:$AJ,B90+1,8),""))</f>
        <v/>
      </c>
      <c r="AH90" s="191"/>
      <c r="AI90" s="188" t="str">
        <f>IF('Słownik PW'!$A$11=FALSE,"",_xlfn.IFERROR(INDEX('Tabela PW'!$AC:$AK,B90+1,9),""))</f>
        <v/>
      </c>
      <c r="AJ90" s="191"/>
      <c r="AK90" s="188" t="str">
        <f>IF('Słownik PW'!$A$11=FALSE,"",_xlfn.IFERROR(INDEX('Tabela PW'!$AC:$AL,B90+1,10),""))</f>
        <v/>
      </c>
    </row>
    <row r="91" spans="2:37" s="182" customFormat="1" ht="22.5" customHeight="1">
      <c r="B91" s="184" t="str">
        <f t="shared" si="1"/>
        <v/>
      </c>
      <c r="D91" s="184" t="str">
        <f>_xlfn.IFERROR('Tabela PW'!Z62,"")</f>
        <v/>
      </c>
      <c r="E91" s="183"/>
      <c r="F91" s="186" t="str">
        <f>_xlfn.IFERROR('Tabela PW'!AA62,"")</f>
        <v/>
      </c>
      <c r="G91" s="184"/>
      <c r="H91" s="188" t="str">
        <f>_xlfn.IFERROR(INDEX('Tabela PW'!AC:AL,B91+1,'Słownik PW'!$A$26-2009),"")</f>
        <v/>
      </c>
      <c r="I91" s="188"/>
      <c r="J91" s="188" t="str">
        <f>_xlfn.IFERROR(IF('Słownik PW'!$A$26=2010,"",INDEX('Tabela PW'!AC:AL,B91+1,'Słownik PW'!$A$26-2010)),"")</f>
        <v/>
      </c>
      <c r="K91" s="187"/>
      <c r="L91" s="189" t="str">
        <f>_xlfn.IFERROR(IF('Słownik PW'!$A$26=2010,"",H91/J91*100),"")</f>
        <v/>
      </c>
      <c r="M91" s="187"/>
      <c r="N91" s="399"/>
      <c r="O91" s="399"/>
      <c r="P91" s="187"/>
      <c r="Q91" s="189" t="str">
        <f>_xlfn.IFERROR(INDEX('Tabela PW'!AP:AP,B91+1,1),"")</f>
        <v/>
      </c>
      <c r="R91" s="187"/>
      <c r="S91" s="188" t="str">
        <f>IF('Słownik PW'!$A$11=FALSE,"",_xlfn.IFERROR(INDEX('Tabela PW'!$AC:$AI,B91+1,1),""))</f>
        <v/>
      </c>
      <c r="T91" s="188"/>
      <c r="U91" s="188" t="str">
        <f>IF('Słownik PW'!$A$11=FALSE,"",_xlfn.IFERROR(INDEX('Tabela PW'!$AC:$AI,B91+1,2),""))</f>
        <v/>
      </c>
      <c r="V91" s="188"/>
      <c r="W91" s="188" t="str">
        <f>IF('Słownik PW'!$A$11=FALSE,"",_xlfn.IFERROR(INDEX('Tabela PW'!$AC:$AI,B91+1,3),""))</f>
        <v/>
      </c>
      <c r="X91" s="188"/>
      <c r="Y91" s="188" t="str">
        <f>IF('Słownik PW'!$A$11=FALSE,"",_xlfn.IFERROR(INDEX('Tabela PW'!$AC:$AI,B91+1,4),""))</f>
        <v/>
      </c>
      <c r="Z91" s="193"/>
      <c r="AA91" s="188" t="str">
        <f>IF('Słownik PW'!$A$11=FALSE,"",_xlfn.IFERROR(INDEX('Tabela PW'!$AC:$AI,B91+1,5),""))</f>
        <v/>
      </c>
      <c r="AB91" s="191"/>
      <c r="AC91" s="188" t="str">
        <f>IF('Słownik PW'!$A$11=FALSE,"",_xlfn.IFERROR(INDEX('Tabela PW'!$AC:$AI,B91+1,6),""))</f>
        <v/>
      </c>
      <c r="AD91" s="191"/>
      <c r="AE91" s="188" t="str">
        <f>IF('Słownik PW'!$A$11=FALSE,"",_xlfn.IFERROR(INDEX('Tabela PW'!$AC:$AI,B91+1,7),""))</f>
        <v/>
      </c>
      <c r="AF91" s="191"/>
      <c r="AG91" s="188" t="str">
        <f>IF('Słownik PW'!$A$11=FALSE,"",_xlfn.IFERROR(INDEX('Tabela PW'!$AC:$AJ,B91+1,8),""))</f>
        <v/>
      </c>
      <c r="AH91" s="191"/>
      <c r="AI91" s="188" t="str">
        <f>IF('Słownik PW'!$A$11=FALSE,"",_xlfn.IFERROR(INDEX('Tabela PW'!$AC:$AK,B91+1,9),""))</f>
        <v/>
      </c>
      <c r="AJ91" s="191"/>
      <c r="AK91" s="188" t="str">
        <f>IF('Słownik PW'!$A$11=FALSE,"",_xlfn.IFERROR(INDEX('Tabela PW'!$AC:$AL,B91+1,10),""))</f>
        <v/>
      </c>
    </row>
    <row r="92" spans="2:37" s="182" customFormat="1" ht="22.5" customHeight="1">
      <c r="B92" s="184" t="str">
        <f t="shared" si="1"/>
        <v/>
      </c>
      <c r="D92" s="184" t="str">
        <f>_xlfn.IFERROR('Tabela PW'!Z63,"")</f>
        <v/>
      </c>
      <c r="E92" s="183"/>
      <c r="F92" s="186" t="str">
        <f>_xlfn.IFERROR('Tabela PW'!AA63,"")</f>
        <v/>
      </c>
      <c r="G92" s="184"/>
      <c r="H92" s="188" t="str">
        <f>_xlfn.IFERROR(INDEX('Tabela PW'!AC:AL,B92+1,'Słownik PW'!$A$26-2009),"")</f>
        <v/>
      </c>
      <c r="I92" s="188"/>
      <c r="J92" s="188" t="str">
        <f>_xlfn.IFERROR(IF('Słownik PW'!$A$26=2010,"",INDEX('Tabela PW'!AC:AL,B92+1,'Słownik PW'!$A$26-2010)),"")</f>
        <v/>
      </c>
      <c r="K92" s="187"/>
      <c r="L92" s="189" t="str">
        <f>_xlfn.IFERROR(IF('Słownik PW'!$A$26=2010,"",H92/J92*100),"")</f>
        <v/>
      </c>
      <c r="M92" s="187"/>
      <c r="N92" s="399"/>
      <c r="O92" s="399"/>
      <c r="P92" s="187"/>
      <c r="Q92" s="189" t="str">
        <f>_xlfn.IFERROR(INDEX('Tabela PW'!AP:AP,B92+1,1),"")</f>
        <v/>
      </c>
      <c r="R92" s="187"/>
      <c r="S92" s="188" t="str">
        <f>IF('Słownik PW'!$A$11=FALSE,"",_xlfn.IFERROR(INDEX('Tabela PW'!$AC:$AI,B92+1,1),""))</f>
        <v/>
      </c>
      <c r="T92" s="188"/>
      <c r="U92" s="188" t="str">
        <f>IF('Słownik PW'!$A$11=FALSE,"",_xlfn.IFERROR(INDEX('Tabela PW'!$AC:$AI,B92+1,2),""))</f>
        <v/>
      </c>
      <c r="V92" s="188"/>
      <c r="W92" s="188" t="str">
        <f>IF('Słownik PW'!$A$11=FALSE,"",_xlfn.IFERROR(INDEX('Tabela PW'!$AC:$AI,B92+1,3),""))</f>
        <v/>
      </c>
      <c r="X92" s="188"/>
      <c r="Y92" s="188" t="str">
        <f>IF('Słownik PW'!$A$11=FALSE,"",_xlfn.IFERROR(INDEX('Tabela PW'!$AC:$AI,B92+1,4),""))</f>
        <v/>
      </c>
      <c r="Z92" s="193"/>
      <c r="AA92" s="188" t="str">
        <f>IF('Słownik PW'!$A$11=FALSE,"",_xlfn.IFERROR(INDEX('Tabela PW'!$AC:$AI,B92+1,5),""))</f>
        <v/>
      </c>
      <c r="AB92" s="191"/>
      <c r="AC92" s="188" t="str">
        <f>IF('Słownik PW'!$A$11=FALSE,"",_xlfn.IFERROR(INDEX('Tabela PW'!$AC:$AI,B92+1,6),""))</f>
        <v/>
      </c>
      <c r="AD92" s="191"/>
      <c r="AE92" s="188" t="str">
        <f>IF('Słownik PW'!$A$11=FALSE,"",_xlfn.IFERROR(INDEX('Tabela PW'!$AC:$AI,B92+1,7),""))</f>
        <v/>
      </c>
      <c r="AF92" s="191"/>
      <c r="AG92" s="188" t="str">
        <f>IF('Słownik PW'!$A$11=FALSE,"",_xlfn.IFERROR(INDEX('Tabela PW'!$AC:$AJ,B92+1,8),""))</f>
        <v/>
      </c>
      <c r="AH92" s="191"/>
      <c r="AI92" s="188" t="str">
        <f>IF('Słownik PW'!$A$11=FALSE,"",_xlfn.IFERROR(INDEX('Tabela PW'!$AC:$AK,B92+1,9),""))</f>
        <v/>
      </c>
      <c r="AJ92" s="191"/>
      <c r="AK92" s="188" t="str">
        <f>IF('Słownik PW'!$A$11=FALSE,"",_xlfn.IFERROR(INDEX('Tabela PW'!$AC:$AL,B92+1,10),""))</f>
        <v/>
      </c>
    </row>
    <row r="93" spans="2:37" s="182" customFormat="1" ht="22.5" customHeight="1">
      <c r="B93" s="184" t="str">
        <f t="shared" si="1"/>
        <v/>
      </c>
      <c r="D93" s="184" t="str">
        <f>_xlfn.IFERROR('Tabela PW'!Z64,"")</f>
        <v/>
      </c>
      <c r="E93" s="183"/>
      <c r="F93" s="186" t="str">
        <f>_xlfn.IFERROR('Tabela PW'!AA64,"")</f>
        <v/>
      </c>
      <c r="G93" s="184"/>
      <c r="H93" s="188" t="str">
        <f>_xlfn.IFERROR(INDEX('Tabela PW'!AC:AL,B93+1,'Słownik PW'!$A$26-2009),"")</f>
        <v/>
      </c>
      <c r="I93" s="188"/>
      <c r="J93" s="188" t="str">
        <f>_xlfn.IFERROR(IF('Słownik PW'!$A$26=2010,"",INDEX('Tabela PW'!AC:AL,B93+1,'Słownik PW'!$A$26-2010)),"")</f>
        <v/>
      </c>
      <c r="K93" s="187"/>
      <c r="L93" s="189" t="str">
        <f>_xlfn.IFERROR(IF('Słownik PW'!$A$26=2010,"",H93/J93*100),"")</f>
        <v/>
      </c>
      <c r="M93" s="187"/>
      <c r="N93" s="399"/>
      <c r="O93" s="399"/>
      <c r="P93" s="187"/>
      <c r="Q93" s="189" t="str">
        <f>_xlfn.IFERROR(INDEX('Tabela PW'!AP:AP,B93+1,1),"")</f>
        <v/>
      </c>
      <c r="R93" s="187"/>
      <c r="S93" s="188" t="str">
        <f>IF('Słownik PW'!$A$11=FALSE,"",_xlfn.IFERROR(INDEX('Tabela PW'!$AC:$AI,B93+1,1),""))</f>
        <v/>
      </c>
      <c r="T93" s="188"/>
      <c r="U93" s="188" t="str">
        <f>IF('Słownik PW'!$A$11=FALSE,"",_xlfn.IFERROR(INDEX('Tabela PW'!$AC:$AI,B93+1,2),""))</f>
        <v/>
      </c>
      <c r="V93" s="188"/>
      <c r="W93" s="188" t="str">
        <f>IF('Słownik PW'!$A$11=FALSE,"",_xlfn.IFERROR(INDEX('Tabela PW'!$AC:$AI,B93+1,3),""))</f>
        <v/>
      </c>
      <c r="X93" s="188"/>
      <c r="Y93" s="188" t="str">
        <f>IF('Słownik PW'!$A$11=FALSE,"",_xlfn.IFERROR(INDEX('Tabela PW'!$AC:$AI,B93+1,4),""))</f>
        <v/>
      </c>
      <c r="Z93" s="193"/>
      <c r="AA93" s="188" t="str">
        <f>IF('Słownik PW'!$A$11=FALSE,"",_xlfn.IFERROR(INDEX('Tabela PW'!$AC:$AI,B93+1,5),""))</f>
        <v/>
      </c>
      <c r="AB93" s="191"/>
      <c r="AC93" s="188" t="str">
        <f>IF('Słownik PW'!$A$11=FALSE,"",_xlfn.IFERROR(INDEX('Tabela PW'!$AC:$AI,B93+1,6),""))</f>
        <v/>
      </c>
      <c r="AD93" s="191"/>
      <c r="AE93" s="188" t="str">
        <f>IF('Słownik PW'!$A$11=FALSE,"",_xlfn.IFERROR(INDEX('Tabela PW'!$AC:$AI,B93+1,7),""))</f>
        <v/>
      </c>
      <c r="AF93" s="191"/>
      <c r="AG93" s="188" t="str">
        <f>IF('Słownik PW'!$A$11=FALSE,"",_xlfn.IFERROR(INDEX('Tabela PW'!$AC:$AJ,B93+1,8),""))</f>
        <v/>
      </c>
      <c r="AH93" s="191"/>
      <c r="AI93" s="188" t="str">
        <f>IF('Słownik PW'!$A$11=FALSE,"",_xlfn.IFERROR(INDEX('Tabela PW'!$AC:$AK,B93+1,9),""))</f>
        <v/>
      </c>
      <c r="AJ93" s="191"/>
      <c r="AK93" s="188" t="str">
        <f>IF('Słownik PW'!$A$11=FALSE,"",_xlfn.IFERROR(INDEX('Tabela PW'!$AC:$AL,B93+1,10),""))</f>
        <v/>
      </c>
    </row>
    <row r="94" spans="2:37" s="182" customFormat="1" ht="22.5" customHeight="1">
      <c r="B94" s="184" t="str">
        <f t="shared" si="1"/>
        <v/>
      </c>
      <c r="D94" s="184" t="str">
        <f>_xlfn.IFERROR('Tabela PW'!Z65,"")</f>
        <v/>
      </c>
      <c r="E94" s="183"/>
      <c r="F94" s="186" t="str">
        <f>_xlfn.IFERROR('Tabela PW'!AA65,"")</f>
        <v/>
      </c>
      <c r="G94" s="184"/>
      <c r="H94" s="188" t="str">
        <f>_xlfn.IFERROR(INDEX('Tabela PW'!AC:AL,B94+1,'Słownik PW'!$A$26-2009),"")</f>
        <v/>
      </c>
      <c r="I94" s="188"/>
      <c r="J94" s="188" t="str">
        <f>_xlfn.IFERROR(IF('Słownik PW'!$A$26=2010,"",INDEX('Tabela PW'!AC:AL,B94+1,'Słownik PW'!$A$26-2010)),"")</f>
        <v/>
      </c>
      <c r="K94" s="187"/>
      <c r="L94" s="189" t="str">
        <f>_xlfn.IFERROR(IF('Słownik PW'!$A$26=2010,"",H94/J94*100),"")</f>
        <v/>
      </c>
      <c r="M94" s="187"/>
      <c r="N94" s="399"/>
      <c r="O94" s="399"/>
      <c r="P94" s="187"/>
      <c r="Q94" s="189" t="str">
        <f>_xlfn.IFERROR(INDEX('Tabela PW'!AP:AP,B94+1,1),"")</f>
        <v/>
      </c>
      <c r="R94" s="187"/>
      <c r="S94" s="188" t="str">
        <f>IF('Słownik PW'!$A$11=FALSE,"",_xlfn.IFERROR(INDEX('Tabela PW'!$AC:$AI,B94+1,1),""))</f>
        <v/>
      </c>
      <c r="T94" s="188"/>
      <c r="U94" s="188" t="str">
        <f>IF('Słownik PW'!$A$11=FALSE,"",_xlfn.IFERROR(INDEX('Tabela PW'!$AC:$AI,B94+1,2),""))</f>
        <v/>
      </c>
      <c r="V94" s="188"/>
      <c r="W94" s="188" t="str">
        <f>IF('Słownik PW'!$A$11=FALSE,"",_xlfn.IFERROR(INDEX('Tabela PW'!$AC:$AI,B94+1,3),""))</f>
        <v/>
      </c>
      <c r="X94" s="188"/>
      <c r="Y94" s="188" t="str">
        <f>IF('Słownik PW'!$A$11=FALSE,"",_xlfn.IFERROR(INDEX('Tabela PW'!$AC:$AI,B94+1,4),""))</f>
        <v/>
      </c>
      <c r="Z94" s="193"/>
      <c r="AA94" s="188" t="str">
        <f>IF('Słownik PW'!$A$11=FALSE,"",_xlfn.IFERROR(INDEX('Tabela PW'!$AC:$AI,B94+1,5),""))</f>
        <v/>
      </c>
      <c r="AB94" s="191"/>
      <c r="AC94" s="188" t="str">
        <f>IF('Słownik PW'!$A$11=FALSE,"",_xlfn.IFERROR(INDEX('Tabela PW'!$AC:$AI,B94+1,6),""))</f>
        <v/>
      </c>
      <c r="AD94" s="191"/>
      <c r="AE94" s="188" t="str">
        <f>IF('Słownik PW'!$A$11=FALSE,"",_xlfn.IFERROR(INDEX('Tabela PW'!$AC:$AI,B94+1,7),""))</f>
        <v/>
      </c>
      <c r="AF94" s="191"/>
      <c r="AG94" s="188" t="str">
        <f>IF('Słownik PW'!$A$11=FALSE,"",_xlfn.IFERROR(INDEX('Tabela PW'!$AC:$AJ,B94+1,8),""))</f>
        <v/>
      </c>
      <c r="AH94" s="191"/>
      <c r="AI94" s="188" t="str">
        <f>IF('Słownik PW'!$A$11=FALSE,"",_xlfn.IFERROR(INDEX('Tabela PW'!$AC:$AK,B94+1,9),""))</f>
        <v/>
      </c>
      <c r="AJ94" s="191"/>
      <c r="AK94" s="188" t="str">
        <f>IF('Słownik PW'!$A$11=FALSE,"",_xlfn.IFERROR(INDEX('Tabela PW'!$AC:$AL,B94+1,10),""))</f>
        <v/>
      </c>
    </row>
    <row r="95" spans="2:37" s="182" customFormat="1" ht="22.5" customHeight="1">
      <c r="B95" s="184" t="str">
        <f t="shared" si="1"/>
        <v/>
      </c>
      <c r="D95" s="184" t="str">
        <f>_xlfn.IFERROR('Tabela PW'!Z66,"")</f>
        <v/>
      </c>
      <c r="E95" s="183"/>
      <c r="F95" s="186" t="str">
        <f>_xlfn.IFERROR('Tabela PW'!AA66,"")</f>
        <v/>
      </c>
      <c r="G95" s="184"/>
      <c r="H95" s="188" t="str">
        <f>_xlfn.IFERROR(INDEX('Tabela PW'!AC:AL,B95+1,'Słownik PW'!$A$26-2009),"")</f>
        <v/>
      </c>
      <c r="I95" s="188"/>
      <c r="J95" s="188" t="str">
        <f>_xlfn.IFERROR(IF('Słownik PW'!$A$26=2010,"",INDEX('Tabela PW'!AC:AL,B95+1,'Słownik PW'!$A$26-2010)),"")</f>
        <v/>
      </c>
      <c r="K95" s="187"/>
      <c r="L95" s="189" t="str">
        <f>_xlfn.IFERROR(IF('Słownik PW'!$A$26=2010,"",H95/J95*100),"")</f>
        <v/>
      </c>
      <c r="M95" s="187"/>
      <c r="N95" s="399"/>
      <c r="O95" s="399"/>
      <c r="P95" s="187"/>
      <c r="Q95" s="189" t="str">
        <f>_xlfn.IFERROR(INDEX('Tabela PW'!AP:AP,B95+1,1),"")</f>
        <v/>
      </c>
      <c r="R95" s="187"/>
      <c r="S95" s="188" t="str">
        <f>IF('Słownik PW'!$A$11=FALSE,"",_xlfn.IFERROR(INDEX('Tabela PW'!$AC:$AI,B95+1,1),""))</f>
        <v/>
      </c>
      <c r="T95" s="188"/>
      <c r="U95" s="188" t="str">
        <f>IF('Słownik PW'!$A$11=FALSE,"",_xlfn.IFERROR(INDEX('Tabela PW'!$AC:$AI,B95+1,2),""))</f>
        <v/>
      </c>
      <c r="V95" s="188"/>
      <c r="W95" s="188" t="str">
        <f>IF('Słownik PW'!$A$11=FALSE,"",_xlfn.IFERROR(INDEX('Tabela PW'!$AC:$AI,B95+1,3),""))</f>
        <v/>
      </c>
      <c r="X95" s="188"/>
      <c r="Y95" s="188" t="str">
        <f>IF('Słownik PW'!$A$11=FALSE,"",_xlfn.IFERROR(INDEX('Tabela PW'!$AC:$AI,B95+1,4),""))</f>
        <v/>
      </c>
      <c r="Z95" s="193"/>
      <c r="AA95" s="188" t="str">
        <f>IF('Słownik PW'!$A$11=FALSE,"",_xlfn.IFERROR(INDEX('Tabela PW'!$AC:$AI,B95+1,5),""))</f>
        <v/>
      </c>
      <c r="AB95" s="191"/>
      <c r="AC95" s="188" t="str">
        <f>IF('Słownik PW'!$A$11=FALSE,"",_xlfn.IFERROR(INDEX('Tabela PW'!$AC:$AI,B95+1,6),""))</f>
        <v/>
      </c>
      <c r="AD95" s="191"/>
      <c r="AE95" s="188" t="str">
        <f>IF('Słownik PW'!$A$11=FALSE,"",_xlfn.IFERROR(INDEX('Tabela PW'!$AC:$AI,B95+1,7),""))</f>
        <v/>
      </c>
      <c r="AF95" s="191"/>
      <c r="AG95" s="188" t="str">
        <f>IF('Słownik PW'!$A$11=FALSE,"",_xlfn.IFERROR(INDEX('Tabela PW'!$AC:$AJ,B95+1,8),""))</f>
        <v/>
      </c>
      <c r="AH95" s="191"/>
      <c r="AI95" s="188" t="str">
        <f>IF('Słownik PW'!$A$11=FALSE,"",_xlfn.IFERROR(INDEX('Tabela PW'!$AC:$AK,B95+1,9),""))</f>
        <v/>
      </c>
      <c r="AJ95" s="191"/>
      <c r="AK95" s="188" t="str">
        <f>IF('Słownik PW'!$A$11=FALSE,"",_xlfn.IFERROR(INDEX('Tabela PW'!$AC:$AL,B95+1,10),""))</f>
        <v/>
      </c>
    </row>
    <row r="96" spans="2:37" s="182" customFormat="1" ht="22.5" customHeight="1">
      <c r="B96" s="184" t="str">
        <f aca="true" t="shared" si="2" ref="B96:B127">IF(D96="","",B95+1)</f>
        <v/>
      </c>
      <c r="D96" s="184" t="str">
        <f>_xlfn.IFERROR('Tabela PW'!Z67,"")</f>
        <v/>
      </c>
      <c r="E96" s="183"/>
      <c r="F96" s="186" t="str">
        <f>_xlfn.IFERROR('Tabela PW'!AA67,"")</f>
        <v/>
      </c>
      <c r="G96" s="184"/>
      <c r="H96" s="188" t="str">
        <f>_xlfn.IFERROR(INDEX('Tabela PW'!AC:AL,B96+1,'Słownik PW'!$A$26-2009),"")</f>
        <v/>
      </c>
      <c r="I96" s="188"/>
      <c r="J96" s="188" t="str">
        <f>_xlfn.IFERROR(IF('Słownik PW'!$A$26=2010,"",INDEX('Tabela PW'!AC:AL,B96+1,'Słownik PW'!$A$26-2010)),"")</f>
        <v/>
      </c>
      <c r="K96" s="187"/>
      <c r="L96" s="189" t="str">
        <f>_xlfn.IFERROR(IF('Słownik PW'!$A$26=2010,"",H96/J96*100),"")</f>
        <v/>
      </c>
      <c r="M96" s="187"/>
      <c r="N96" s="399"/>
      <c r="O96" s="399"/>
      <c r="P96" s="187"/>
      <c r="Q96" s="189" t="str">
        <f>_xlfn.IFERROR(INDEX('Tabela PW'!AP:AP,B96+1,1),"")</f>
        <v/>
      </c>
      <c r="R96" s="187"/>
      <c r="S96" s="188" t="str">
        <f>IF('Słownik PW'!$A$11=FALSE,"",_xlfn.IFERROR(INDEX('Tabela PW'!$AC:$AI,B96+1,1),""))</f>
        <v/>
      </c>
      <c r="T96" s="188"/>
      <c r="U96" s="188" t="str">
        <f>IF('Słownik PW'!$A$11=FALSE,"",_xlfn.IFERROR(INDEX('Tabela PW'!$AC:$AI,B96+1,2),""))</f>
        <v/>
      </c>
      <c r="V96" s="188"/>
      <c r="W96" s="188" t="str">
        <f>IF('Słownik PW'!$A$11=FALSE,"",_xlfn.IFERROR(INDEX('Tabela PW'!$AC:$AI,B96+1,3),""))</f>
        <v/>
      </c>
      <c r="X96" s="188"/>
      <c r="Y96" s="188" t="str">
        <f>IF('Słownik PW'!$A$11=FALSE,"",_xlfn.IFERROR(INDEX('Tabela PW'!$AC:$AI,B96+1,4),""))</f>
        <v/>
      </c>
      <c r="Z96" s="193"/>
      <c r="AA96" s="188" t="str">
        <f>IF('Słownik PW'!$A$11=FALSE,"",_xlfn.IFERROR(INDEX('Tabela PW'!$AC:$AI,B96+1,5),""))</f>
        <v/>
      </c>
      <c r="AB96" s="191"/>
      <c r="AC96" s="188" t="str">
        <f>IF('Słownik PW'!$A$11=FALSE,"",_xlfn.IFERROR(INDEX('Tabela PW'!$AC:$AI,B96+1,6),""))</f>
        <v/>
      </c>
      <c r="AD96" s="191"/>
      <c r="AE96" s="188" t="str">
        <f>IF('Słownik PW'!$A$11=FALSE,"",_xlfn.IFERROR(INDEX('Tabela PW'!$AC:$AI,B96+1,7),""))</f>
        <v/>
      </c>
      <c r="AF96" s="191"/>
      <c r="AG96" s="188" t="str">
        <f>IF('Słownik PW'!$A$11=FALSE,"",_xlfn.IFERROR(INDEX('Tabela PW'!$AC:$AJ,B96+1,8),""))</f>
        <v/>
      </c>
      <c r="AH96" s="191"/>
      <c r="AI96" s="188" t="str">
        <f>IF('Słownik PW'!$A$11=FALSE,"",_xlfn.IFERROR(INDEX('Tabela PW'!$AC:$AK,B96+1,9),""))</f>
        <v/>
      </c>
      <c r="AJ96" s="191"/>
      <c r="AK96" s="188" t="str">
        <f>IF('Słownik PW'!$A$11=FALSE,"",_xlfn.IFERROR(INDEX('Tabela PW'!$AC:$AL,B96+1,10),""))</f>
        <v/>
      </c>
    </row>
    <row r="97" spans="2:37" s="182" customFormat="1" ht="22.5" customHeight="1">
      <c r="B97" s="184" t="str">
        <f t="shared" si="2"/>
        <v/>
      </c>
      <c r="D97" s="184" t="str">
        <f>_xlfn.IFERROR('Tabela PW'!Z68,"")</f>
        <v/>
      </c>
      <c r="E97" s="183"/>
      <c r="F97" s="186" t="str">
        <f>_xlfn.IFERROR('Tabela PW'!AA68,"")</f>
        <v/>
      </c>
      <c r="G97" s="184"/>
      <c r="H97" s="188" t="str">
        <f>_xlfn.IFERROR(INDEX('Tabela PW'!AC:AL,B97+1,'Słownik PW'!$A$26-2009),"")</f>
        <v/>
      </c>
      <c r="I97" s="188"/>
      <c r="J97" s="188" t="str">
        <f>_xlfn.IFERROR(IF('Słownik PW'!$A$26=2010,"",INDEX('Tabela PW'!AC:AL,B97+1,'Słownik PW'!$A$26-2010)),"")</f>
        <v/>
      </c>
      <c r="K97" s="187"/>
      <c r="L97" s="189" t="str">
        <f>_xlfn.IFERROR(IF('Słownik PW'!$A$26=2010,"",H97/J97*100),"")</f>
        <v/>
      </c>
      <c r="M97" s="187"/>
      <c r="N97" s="399"/>
      <c r="O97" s="399"/>
      <c r="P97" s="187"/>
      <c r="Q97" s="189" t="str">
        <f>_xlfn.IFERROR(INDEX('Tabela PW'!AP:AP,B97+1,1),"")</f>
        <v/>
      </c>
      <c r="R97" s="187"/>
      <c r="S97" s="188" t="str">
        <f>IF('Słownik PW'!$A$11=FALSE,"",_xlfn.IFERROR(INDEX('Tabela PW'!$AC:$AI,B97+1,1),""))</f>
        <v/>
      </c>
      <c r="T97" s="188"/>
      <c r="U97" s="188" t="str">
        <f>IF('Słownik PW'!$A$11=FALSE,"",_xlfn.IFERROR(INDEX('Tabela PW'!$AC:$AI,B97+1,2),""))</f>
        <v/>
      </c>
      <c r="V97" s="188"/>
      <c r="W97" s="188" t="str">
        <f>IF('Słownik PW'!$A$11=FALSE,"",_xlfn.IFERROR(INDEX('Tabela PW'!$AC:$AI,B97+1,3),""))</f>
        <v/>
      </c>
      <c r="X97" s="188"/>
      <c r="Y97" s="188" t="str">
        <f>IF('Słownik PW'!$A$11=FALSE,"",_xlfn.IFERROR(INDEX('Tabela PW'!$AC:$AI,B97+1,4),""))</f>
        <v/>
      </c>
      <c r="Z97" s="193"/>
      <c r="AA97" s="188" t="str">
        <f>IF('Słownik PW'!$A$11=FALSE,"",_xlfn.IFERROR(INDEX('Tabela PW'!$AC:$AI,B97+1,5),""))</f>
        <v/>
      </c>
      <c r="AB97" s="191"/>
      <c r="AC97" s="188" t="str">
        <f>IF('Słownik PW'!$A$11=FALSE,"",_xlfn.IFERROR(INDEX('Tabela PW'!$AC:$AI,B97+1,6),""))</f>
        <v/>
      </c>
      <c r="AD97" s="191"/>
      <c r="AE97" s="188" t="str">
        <f>IF('Słownik PW'!$A$11=FALSE,"",_xlfn.IFERROR(INDEX('Tabela PW'!$AC:$AI,B97+1,7),""))</f>
        <v/>
      </c>
      <c r="AF97" s="191"/>
      <c r="AG97" s="188" t="str">
        <f>IF('Słownik PW'!$A$11=FALSE,"",_xlfn.IFERROR(INDEX('Tabela PW'!$AC:$AJ,B97+1,8),""))</f>
        <v/>
      </c>
      <c r="AH97" s="191"/>
      <c r="AI97" s="188" t="str">
        <f>IF('Słownik PW'!$A$11=FALSE,"",_xlfn.IFERROR(INDEX('Tabela PW'!$AC:$AK,B97+1,9),""))</f>
        <v/>
      </c>
      <c r="AJ97" s="191"/>
      <c r="AK97" s="188" t="str">
        <f>IF('Słownik PW'!$A$11=FALSE,"",_xlfn.IFERROR(INDEX('Tabela PW'!$AC:$AL,B97+1,10),""))</f>
        <v/>
      </c>
    </row>
    <row r="98" spans="2:37" s="182" customFormat="1" ht="22.5" customHeight="1">
      <c r="B98" s="184" t="str">
        <f t="shared" si="2"/>
        <v/>
      </c>
      <c r="D98" s="184" t="str">
        <f>_xlfn.IFERROR('Tabela PW'!Z69,"")</f>
        <v/>
      </c>
      <c r="E98" s="183"/>
      <c r="F98" s="186" t="str">
        <f>_xlfn.IFERROR('Tabela PW'!AA69,"")</f>
        <v/>
      </c>
      <c r="G98" s="184"/>
      <c r="H98" s="188" t="str">
        <f>_xlfn.IFERROR(INDEX('Tabela PW'!AC:AL,B98+1,'Słownik PW'!$A$26-2009),"")</f>
        <v/>
      </c>
      <c r="I98" s="188"/>
      <c r="J98" s="188" t="str">
        <f>_xlfn.IFERROR(IF('Słownik PW'!$A$26=2010,"",INDEX('Tabela PW'!AC:AL,B98+1,'Słownik PW'!$A$26-2010)),"")</f>
        <v/>
      </c>
      <c r="K98" s="187"/>
      <c r="L98" s="189" t="str">
        <f>_xlfn.IFERROR(IF('Słownik PW'!$A$26=2010,"",H98/J98*100),"")</f>
        <v/>
      </c>
      <c r="M98" s="187"/>
      <c r="N98" s="399"/>
      <c r="O98" s="399"/>
      <c r="P98" s="187"/>
      <c r="Q98" s="189" t="str">
        <f>_xlfn.IFERROR(INDEX('Tabela PW'!AP:AP,B98+1,1),"")</f>
        <v/>
      </c>
      <c r="R98" s="187"/>
      <c r="S98" s="188" t="str">
        <f>IF('Słownik PW'!$A$11=FALSE,"",_xlfn.IFERROR(INDEX('Tabela PW'!$AC:$AI,B98+1,1),""))</f>
        <v/>
      </c>
      <c r="T98" s="188"/>
      <c r="U98" s="188" t="str">
        <f>IF('Słownik PW'!$A$11=FALSE,"",_xlfn.IFERROR(INDEX('Tabela PW'!$AC:$AI,B98+1,2),""))</f>
        <v/>
      </c>
      <c r="V98" s="188"/>
      <c r="W98" s="188" t="str">
        <f>IF('Słownik PW'!$A$11=FALSE,"",_xlfn.IFERROR(INDEX('Tabela PW'!$AC:$AI,B98+1,3),""))</f>
        <v/>
      </c>
      <c r="X98" s="188"/>
      <c r="Y98" s="188" t="str">
        <f>IF('Słownik PW'!$A$11=FALSE,"",_xlfn.IFERROR(INDEX('Tabela PW'!$AC:$AI,B98+1,4),""))</f>
        <v/>
      </c>
      <c r="Z98" s="193"/>
      <c r="AA98" s="188" t="str">
        <f>IF('Słownik PW'!$A$11=FALSE,"",_xlfn.IFERROR(INDEX('Tabela PW'!$AC:$AI,B98+1,5),""))</f>
        <v/>
      </c>
      <c r="AB98" s="191"/>
      <c r="AC98" s="188" t="str">
        <f>IF('Słownik PW'!$A$11=FALSE,"",_xlfn.IFERROR(INDEX('Tabela PW'!$AC:$AI,B98+1,6),""))</f>
        <v/>
      </c>
      <c r="AD98" s="191"/>
      <c r="AE98" s="188" t="str">
        <f>IF('Słownik PW'!$A$11=FALSE,"",_xlfn.IFERROR(INDEX('Tabela PW'!$AC:$AI,B98+1,7),""))</f>
        <v/>
      </c>
      <c r="AF98" s="191"/>
      <c r="AG98" s="188" t="str">
        <f>IF('Słownik PW'!$A$11=FALSE,"",_xlfn.IFERROR(INDEX('Tabela PW'!$AC:$AJ,B98+1,8),""))</f>
        <v/>
      </c>
      <c r="AH98" s="191"/>
      <c r="AI98" s="188" t="str">
        <f>IF('Słownik PW'!$A$11=FALSE,"",_xlfn.IFERROR(INDEX('Tabela PW'!$AC:$AK,B98+1,9),""))</f>
        <v/>
      </c>
      <c r="AJ98" s="191"/>
      <c r="AK98" s="188" t="str">
        <f>IF('Słownik PW'!$A$11=FALSE,"",_xlfn.IFERROR(INDEX('Tabela PW'!$AC:$AL,B98+1,10),""))</f>
        <v/>
      </c>
    </row>
    <row r="99" spans="2:37" s="182" customFormat="1" ht="22.5" customHeight="1">
      <c r="B99" s="184" t="str">
        <f t="shared" si="2"/>
        <v/>
      </c>
      <c r="D99" s="184" t="str">
        <f>_xlfn.IFERROR('Tabela PW'!Z70,"")</f>
        <v/>
      </c>
      <c r="E99" s="183"/>
      <c r="F99" s="186" t="str">
        <f>_xlfn.IFERROR('Tabela PW'!AA70,"")</f>
        <v/>
      </c>
      <c r="G99" s="184"/>
      <c r="H99" s="188" t="str">
        <f>_xlfn.IFERROR(INDEX('Tabela PW'!AC:AL,B99+1,'Słownik PW'!$A$26-2009),"")</f>
        <v/>
      </c>
      <c r="I99" s="188"/>
      <c r="J99" s="188" t="str">
        <f>_xlfn.IFERROR(IF('Słownik PW'!$A$26=2010,"",INDEX('Tabela PW'!AC:AL,B99+1,'Słownik PW'!$A$26-2010)),"")</f>
        <v/>
      </c>
      <c r="K99" s="187"/>
      <c r="L99" s="189" t="str">
        <f>_xlfn.IFERROR(IF('Słownik PW'!$A$26=2010,"",H99/J99*100),"")</f>
        <v/>
      </c>
      <c r="M99" s="187"/>
      <c r="N99" s="399"/>
      <c r="O99" s="399"/>
      <c r="P99" s="187"/>
      <c r="Q99" s="189" t="str">
        <f>_xlfn.IFERROR(INDEX('Tabela PW'!AP:AP,B99+1,1),"")</f>
        <v/>
      </c>
      <c r="R99" s="187"/>
      <c r="S99" s="188" t="str">
        <f>IF('Słownik PW'!$A$11=FALSE,"",_xlfn.IFERROR(INDEX('Tabela PW'!$AC:$AI,B99+1,1),""))</f>
        <v/>
      </c>
      <c r="T99" s="188"/>
      <c r="U99" s="188" t="str">
        <f>IF('Słownik PW'!$A$11=FALSE,"",_xlfn.IFERROR(INDEX('Tabela PW'!$AC:$AI,B99+1,2),""))</f>
        <v/>
      </c>
      <c r="V99" s="188"/>
      <c r="W99" s="188" t="str">
        <f>IF('Słownik PW'!$A$11=FALSE,"",_xlfn.IFERROR(INDEX('Tabela PW'!$AC:$AI,B99+1,3),""))</f>
        <v/>
      </c>
      <c r="X99" s="188"/>
      <c r="Y99" s="188" t="str">
        <f>IF('Słownik PW'!$A$11=FALSE,"",_xlfn.IFERROR(INDEX('Tabela PW'!$AC:$AI,B99+1,4),""))</f>
        <v/>
      </c>
      <c r="Z99" s="193"/>
      <c r="AA99" s="188" t="str">
        <f>IF('Słownik PW'!$A$11=FALSE,"",_xlfn.IFERROR(INDEX('Tabela PW'!$AC:$AI,B99+1,5),""))</f>
        <v/>
      </c>
      <c r="AB99" s="191"/>
      <c r="AC99" s="188" t="str">
        <f>IF('Słownik PW'!$A$11=FALSE,"",_xlfn.IFERROR(INDEX('Tabela PW'!$AC:$AI,B99+1,6),""))</f>
        <v/>
      </c>
      <c r="AD99" s="191"/>
      <c r="AE99" s="188" t="str">
        <f>IF('Słownik PW'!$A$11=FALSE,"",_xlfn.IFERROR(INDEX('Tabela PW'!$AC:$AI,B99+1,7),""))</f>
        <v/>
      </c>
      <c r="AF99" s="191"/>
      <c r="AG99" s="188" t="str">
        <f>IF('Słownik PW'!$A$11=FALSE,"",_xlfn.IFERROR(INDEX('Tabela PW'!$AC:$AJ,B99+1,8),""))</f>
        <v/>
      </c>
      <c r="AH99" s="191"/>
      <c r="AI99" s="188" t="str">
        <f>IF('Słownik PW'!$A$11=FALSE,"",_xlfn.IFERROR(INDEX('Tabela PW'!$AC:$AK,B99+1,9),""))</f>
        <v/>
      </c>
      <c r="AJ99" s="191"/>
      <c r="AK99" s="188" t="str">
        <f>IF('Słownik PW'!$A$11=FALSE,"",_xlfn.IFERROR(INDEX('Tabela PW'!$AC:$AL,B99+1,10),""))</f>
        <v/>
      </c>
    </row>
    <row r="100" spans="2:37" s="182" customFormat="1" ht="22.5" customHeight="1">
      <c r="B100" s="184" t="str">
        <f t="shared" si="2"/>
        <v/>
      </c>
      <c r="D100" s="184" t="str">
        <f>_xlfn.IFERROR('Tabela PW'!Z71,"")</f>
        <v/>
      </c>
      <c r="E100" s="183"/>
      <c r="F100" s="186" t="str">
        <f>_xlfn.IFERROR('Tabela PW'!AA71,"")</f>
        <v/>
      </c>
      <c r="G100" s="184"/>
      <c r="H100" s="188" t="str">
        <f>_xlfn.IFERROR(INDEX('Tabela PW'!AC:AL,B100+1,'Słownik PW'!$A$26-2009),"")</f>
        <v/>
      </c>
      <c r="I100" s="188"/>
      <c r="J100" s="188" t="str">
        <f>_xlfn.IFERROR(IF('Słownik PW'!$A$26=2010,"",INDEX('Tabela PW'!AC:AL,B100+1,'Słownik PW'!$A$26-2010)),"")</f>
        <v/>
      </c>
      <c r="K100" s="187"/>
      <c r="L100" s="189" t="str">
        <f>_xlfn.IFERROR(IF('Słownik PW'!$A$26=2010,"",H100/J100*100),"")</f>
        <v/>
      </c>
      <c r="M100" s="187"/>
      <c r="N100" s="399"/>
      <c r="O100" s="399"/>
      <c r="P100" s="187"/>
      <c r="Q100" s="189" t="str">
        <f>_xlfn.IFERROR(INDEX('Tabela PW'!AP:AP,B100+1,1),"")</f>
        <v/>
      </c>
      <c r="R100" s="187"/>
      <c r="S100" s="188" t="str">
        <f>IF('Słownik PW'!$A$11=FALSE,"",_xlfn.IFERROR(INDEX('Tabela PW'!$AC:$AI,B100+1,1),""))</f>
        <v/>
      </c>
      <c r="T100" s="188"/>
      <c r="U100" s="188" t="str">
        <f>IF('Słownik PW'!$A$11=FALSE,"",_xlfn.IFERROR(INDEX('Tabela PW'!$AC:$AI,B100+1,2),""))</f>
        <v/>
      </c>
      <c r="V100" s="188"/>
      <c r="W100" s="188" t="str">
        <f>IF('Słownik PW'!$A$11=FALSE,"",_xlfn.IFERROR(INDEX('Tabela PW'!$AC:$AI,B100+1,3),""))</f>
        <v/>
      </c>
      <c r="X100" s="188"/>
      <c r="Y100" s="188" t="str">
        <f>IF('Słownik PW'!$A$11=FALSE,"",_xlfn.IFERROR(INDEX('Tabela PW'!$AC:$AI,B100+1,4),""))</f>
        <v/>
      </c>
      <c r="Z100" s="193"/>
      <c r="AA100" s="188" t="str">
        <f>IF('Słownik PW'!$A$11=FALSE,"",_xlfn.IFERROR(INDEX('Tabela PW'!$AC:$AI,B100+1,5),""))</f>
        <v/>
      </c>
      <c r="AB100" s="191"/>
      <c r="AC100" s="188" t="str">
        <f>IF('Słownik PW'!$A$11=FALSE,"",_xlfn.IFERROR(INDEX('Tabela PW'!$AC:$AI,B100+1,6),""))</f>
        <v/>
      </c>
      <c r="AD100" s="191"/>
      <c r="AE100" s="188" t="str">
        <f>IF('Słownik PW'!$A$11=FALSE,"",_xlfn.IFERROR(INDEX('Tabela PW'!$AC:$AI,B100+1,7),""))</f>
        <v/>
      </c>
      <c r="AF100" s="191"/>
      <c r="AG100" s="188" t="str">
        <f>IF('Słownik PW'!$A$11=FALSE,"",_xlfn.IFERROR(INDEX('Tabela PW'!$AC:$AJ,B100+1,8),""))</f>
        <v/>
      </c>
      <c r="AH100" s="191"/>
      <c r="AI100" s="188" t="str">
        <f>IF('Słownik PW'!$A$11=FALSE,"",_xlfn.IFERROR(INDEX('Tabela PW'!$AC:$AK,B100+1,9),""))</f>
        <v/>
      </c>
      <c r="AJ100" s="191"/>
      <c r="AK100" s="188" t="str">
        <f>IF('Słownik PW'!$A$11=FALSE,"",_xlfn.IFERROR(INDEX('Tabela PW'!$AC:$AL,B100+1,10),""))</f>
        <v/>
      </c>
    </row>
    <row r="101" spans="2:37" s="182" customFormat="1" ht="22.5" customHeight="1">
      <c r="B101" s="184" t="str">
        <f t="shared" si="2"/>
        <v/>
      </c>
      <c r="D101" s="184" t="str">
        <f>_xlfn.IFERROR('Tabela PW'!Z72,"")</f>
        <v/>
      </c>
      <c r="E101" s="183"/>
      <c r="F101" s="186" t="str">
        <f>_xlfn.IFERROR('Tabela PW'!AA72,"")</f>
        <v/>
      </c>
      <c r="G101" s="184"/>
      <c r="H101" s="188" t="str">
        <f>_xlfn.IFERROR(INDEX('Tabela PW'!AC:AL,B101+1,'Słownik PW'!$A$26-2009),"")</f>
        <v/>
      </c>
      <c r="I101" s="188"/>
      <c r="J101" s="188" t="str">
        <f>_xlfn.IFERROR(IF('Słownik PW'!$A$26=2010,"",INDEX('Tabela PW'!AC:AL,B101+1,'Słownik PW'!$A$26-2010)),"")</f>
        <v/>
      </c>
      <c r="K101" s="187"/>
      <c r="L101" s="189" t="str">
        <f>_xlfn.IFERROR(IF('Słownik PW'!$A$26=2010,"",H101/J101*100),"")</f>
        <v/>
      </c>
      <c r="M101" s="187"/>
      <c r="N101" s="399"/>
      <c r="O101" s="399"/>
      <c r="P101" s="187"/>
      <c r="Q101" s="189" t="str">
        <f>_xlfn.IFERROR(INDEX('Tabela PW'!AP:AP,B101+1,1),"")</f>
        <v/>
      </c>
      <c r="R101" s="187"/>
      <c r="S101" s="188" t="str">
        <f>IF('Słownik PW'!$A$11=FALSE,"",_xlfn.IFERROR(INDEX('Tabela PW'!$AC:$AI,B101+1,1),""))</f>
        <v/>
      </c>
      <c r="T101" s="188"/>
      <c r="U101" s="188" t="str">
        <f>IF('Słownik PW'!$A$11=FALSE,"",_xlfn.IFERROR(INDEX('Tabela PW'!$AC:$AI,B101+1,2),""))</f>
        <v/>
      </c>
      <c r="V101" s="188"/>
      <c r="W101" s="188" t="str">
        <f>IF('Słownik PW'!$A$11=FALSE,"",_xlfn.IFERROR(INDEX('Tabela PW'!$AC:$AI,B101+1,3),""))</f>
        <v/>
      </c>
      <c r="X101" s="188"/>
      <c r="Y101" s="188" t="str">
        <f>IF('Słownik PW'!$A$11=FALSE,"",_xlfn.IFERROR(INDEX('Tabela PW'!$AC:$AI,B101+1,4),""))</f>
        <v/>
      </c>
      <c r="Z101" s="193"/>
      <c r="AA101" s="188" t="str">
        <f>IF('Słownik PW'!$A$11=FALSE,"",_xlfn.IFERROR(INDEX('Tabela PW'!$AC:$AI,B101+1,5),""))</f>
        <v/>
      </c>
      <c r="AB101" s="191"/>
      <c r="AC101" s="188" t="str">
        <f>IF('Słownik PW'!$A$11=FALSE,"",_xlfn.IFERROR(INDEX('Tabela PW'!$AC:$AI,B101+1,6),""))</f>
        <v/>
      </c>
      <c r="AD101" s="191"/>
      <c r="AE101" s="188" t="str">
        <f>IF('Słownik PW'!$A$11=FALSE,"",_xlfn.IFERROR(INDEX('Tabela PW'!$AC:$AI,B101+1,7),""))</f>
        <v/>
      </c>
      <c r="AF101" s="191"/>
      <c r="AG101" s="188" t="str">
        <f>IF('Słownik PW'!$A$11=FALSE,"",_xlfn.IFERROR(INDEX('Tabela PW'!$AC:$AJ,B101+1,8),""))</f>
        <v/>
      </c>
      <c r="AH101" s="191"/>
      <c r="AI101" s="188" t="str">
        <f>IF('Słownik PW'!$A$11=FALSE,"",_xlfn.IFERROR(INDEX('Tabela PW'!$AC:$AK,B101+1,9),""))</f>
        <v/>
      </c>
      <c r="AJ101" s="191"/>
      <c r="AK101" s="188" t="str">
        <f>IF('Słownik PW'!$A$11=FALSE,"",_xlfn.IFERROR(INDEX('Tabela PW'!$AC:$AL,B101+1,10),""))</f>
        <v/>
      </c>
    </row>
    <row r="102" spans="2:37" s="182" customFormat="1" ht="22.5" customHeight="1">
      <c r="B102" s="184" t="str">
        <f t="shared" si="2"/>
        <v/>
      </c>
      <c r="D102" s="184" t="str">
        <f>_xlfn.IFERROR('Tabela PW'!Z73,"")</f>
        <v/>
      </c>
      <c r="E102" s="183"/>
      <c r="F102" s="186" t="str">
        <f>_xlfn.IFERROR('Tabela PW'!AA73,"")</f>
        <v/>
      </c>
      <c r="G102" s="184"/>
      <c r="H102" s="188" t="str">
        <f>_xlfn.IFERROR(INDEX('Tabela PW'!AC:AL,B102+1,'Słownik PW'!$A$26-2009),"")</f>
        <v/>
      </c>
      <c r="I102" s="188"/>
      <c r="J102" s="188" t="str">
        <f>_xlfn.IFERROR(IF('Słownik PW'!$A$26=2010,"",INDEX('Tabela PW'!AC:AL,B102+1,'Słownik PW'!$A$26-2010)),"")</f>
        <v/>
      </c>
      <c r="K102" s="187"/>
      <c r="L102" s="189" t="str">
        <f>_xlfn.IFERROR(IF('Słownik PW'!$A$26=2010,"",H102/J102*100),"")</f>
        <v/>
      </c>
      <c r="M102" s="187"/>
      <c r="N102" s="399"/>
      <c r="O102" s="399"/>
      <c r="P102" s="187"/>
      <c r="Q102" s="189" t="str">
        <f>_xlfn.IFERROR(INDEX('Tabela PW'!AP:AP,B102+1,1),"")</f>
        <v/>
      </c>
      <c r="R102" s="187"/>
      <c r="S102" s="188" t="str">
        <f>IF('Słownik PW'!$A$11=FALSE,"",_xlfn.IFERROR(INDEX('Tabela PW'!$AC:$AI,B102+1,1),""))</f>
        <v/>
      </c>
      <c r="T102" s="188"/>
      <c r="U102" s="188" t="str">
        <f>IF('Słownik PW'!$A$11=FALSE,"",_xlfn.IFERROR(INDEX('Tabela PW'!$AC:$AI,B102+1,2),""))</f>
        <v/>
      </c>
      <c r="V102" s="188"/>
      <c r="W102" s="188" t="str">
        <f>IF('Słownik PW'!$A$11=FALSE,"",_xlfn.IFERROR(INDEX('Tabela PW'!$AC:$AI,B102+1,3),""))</f>
        <v/>
      </c>
      <c r="X102" s="188"/>
      <c r="Y102" s="188" t="str">
        <f>IF('Słownik PW'!$A$11=FALSE,"",_xlfn.IFERROR(INDEX('Tabela PW'!$AC:$AI,B102+1,4),""))</f>
        <v/>
      </c>
      <c r="Z102" s="193"/>
      <c r="AA102" s="188" t="str">
        <f>IF('Słownik PW'!$A$11=FALSE,"",_xlfn.IFERROR(INDEX('Tabela PW'!$AC:$AI,B102+1,5),""))</f>
        <v/>
      </c>
      <c r="AB102" s="191"/>
      <c r="AC102" s="188" t="str">
        <f>IF('Słownik PW'!$A$11=FALSE,"",_xlfn.IFERROR(INDEX('Tabela PW'!$AC:$AI,B102+1,6),""))</f>
        <v/>
      </c>
      <c r="AD102" s="191"/>
      <c r="AE102" s="188" t="str">
        <f>IF('Słownik PW'!$A$11=FALSE,"",_xlfn.IFERROR(INDEX('Tabela PW'!$AC:$AI,B102+1,7),""))</f>
        <v/>
      </c>
      <c r="AF102" s="191"/>
      <c r="AG102" s="188" t="str">
        <f>IF('Słownik PW'!$A$11=FALSE,"",_xlfn.IFERROR(INDEX('Tabela PW'!$AC:$AJ,B102+1,8),""))</f>
        <v/>
      </c>
      <c r="AH102" s="191"/>
      <c r="AI102" s="188" t="str">
        <f>IF('Słownik PW'!$A$11=FALSE,"",_xlfn.IFERROR(INDEX('Tabela PW'!$AC:$AK,B102+1,9),""))</f>
        <v/>
      </c>
      <c r="AJ102" s="191"/>
      <c r="AK102" s="188" t="str">
        <f>IF('Słownik PW'!$A$11=FALSE,"",_xlfn.IFERROR(INDEX('Tabela PW'!$AC:$AL,B102+1,10),""))</f>
        <v/>
      </c>
    </row>
    <row r="103" spans="2:37" s="182" customFormat="1" ht="22.5" customHeight="1">
      <c r="B103" s="184" t="str">
        <f t="shared" si="2"/>
        <v/>
      </c>
      <c r="D103" s="184" t="str">
        <f>_xlfn.IFERROR('Tabela PW'!Z74,"")</f>
        <v/>
      </c>
      <c r="E103" s="183"/>
      <c r="F103" s="186" t="str">
        <f>_xlfn.IFERROR('Tabela PW'!AA74,"")</f>
        <v/>
      </c>
      <c r="G103" s="184"/>
      <c r="H103" s="188" t="str">
        <f>_xlfn.IFERROR(INDEX('Tabela PW'!AC:AL,B103+1,'Słownik PW'!$A$26-2009),"")</f>
        <v/>
      </c>
      <c r="I103" s="188"/>
      <c r="J103" s="188" t="str">
        <f>_xlfn.IFERROR(IF('Słownik PW'!$A$26=2010,"",INDEX('Tabela PW'!AC:AL,B103+1,'Słownik PW'!$A$26-2010)),"")</f>
        <v/>
      </c>
      <c r="K103" s="187"/>
      <c r="L103" s="189" t="str">
        <f>_xlfn.IFERROR(IF('Słownik PW'!$A$26=2010,"",H103/J103*100),"")</f>
        <v/>
      </c>
      <c r="M103" s="187"/>
      <c r="N103" s="399"/>
      <c r="O103" s="399"/>
      <c r="P103" s="187"/>
      <c r="Q103" s="189" t="str">
        <f>_xlfn.IFERROR(INDEX('Tabela PW'!AP:AP,B103+1,1),"")</f>
        <v/>
      </c>
      <c r="R103" s="187"/>
      <c r="S103" s="188" t="str">
        <f>IF('Słownik PW'!$A$11=FALSE,"",_xlfn.IFERROR(INDEX('Tabela PW'!$AC:$AI,B103+1,1),""))</f>
        <v/>
      </c>
      <c r="T103" s="188"/>
      <c r="U103" s="188" t="str">
        <f>IF('Słownik PW'!$A$11=FALSE,"",_xlfn.IFERROR(INDEX('Tabela PW'!$AC:$AI,B103+1,2),""))</f>
        <v/>
      </c>
      <c r="V103" s="188"/>
      <c r="W103" s="188" t="str">
        <f>IF('Słownik PW'!$A$11=FALSE,"",_xlfn.IFERROR(INDEX('Tabela PW'!$AC:$AI,B103+1,3),""))</f>
        <v/>
      </c>
      <c r="X103" s="188"/>
      <c r="Y103" s="188" t="str">
        <f>IF('Słownik PW'!$A$11=FALSE,"",_xlfn.IFERROR(INDEX('Tabela PW'!$AC:$AI,B103+1,4),""))</f>
        <v/>
      </c>
      <c r="Z103" s="193"/>
      <c r="AA103" s="188" t="str">
        <f>IF('Słownik PW'!$A$11=FALSE,"",_xlfn.IFERROR(INDEX('Tabela PW'!$AC:$AI,B103+1,5),""))</f>
        <v/>
      </c>
      <c r="AB103" s="191"/>
      <c r="AC103" s="188" t="str">
        <f>IF('Słownik PW'!$A$11=FALSE,"",_xlfn.IFERROR(INDEX('Tabela PW'!$AC:$AI,B103+1,6),""))</f>
        <v/>
      </c>
      <c r="AD103" s="191"/>
      <c r="AE103" s="188" t="str">
        <f>IF('Słownik PW'!$A$11=FALSE,"",_xlfn.IFERROR(INDEX('Tabela PW'!$AC:$AI,B103+1,7),""))</f>
        <v/>
      </c>
      <c r="AF103" s="191"/>
      <c r="AG103" s="188" t="str">
        <f>IF('Słownik PW'!$A$11=FALSE,"",_xlfn.IFERROR(INDEX('Tabela PW'!$AC:$AJ,B103+1,8),""))</f>
        <v/>
      </c>
      <c r="AH103" s="191"/>
      <c r="AI103" s="188" t="str">
        <f>IF('Słownik PW'!$A$11=FALSE,"",_xlfn.IFERROR(INDEX('Tabela PW'!$AC:$AK,B103+1,9),""))</f>
        <v/>
      </c>
      <c r="AJ103" s="191"/>
      <c r="AK103" s="188" t="str">
        <f>IF('Słownik PW'!$A$11=FALSE,"",_xlfn.IFERROR(INDEX('Tabela PW'!$AC:$AL,B103+1,10),""))</f>
        <v/>
      </c>
    </row>
    <row r="104" spans="2:37" s="182" customFormat="1" ht="22.5" customHeight="1">
      <c r="B104" s="184" t="str">
        <f t="shared" si="2"/>
        <v/>
      </c>
      <c r="D104" s="184" t="str">
        <f>_xlfn.IFERROR('Tabela PW'!Z75,"")</f>
        <v/>
      </c>
      <c r="E104" s="183"/>
      <c r="F104" s="186" t="str">
        <f>_xlfn.IFERROR('Tabela PW'!AA75,"")</f>
        <v/>
      </c>
      <c r="G104" s="184"/>
      <c r="H104" s="188" t="str">
        <f>_xlfn.IFERROR(INDEX('Tabela PW'!AC:AL,B104+1,'Słownik PW'!$A$26-2009),"")</f>
        <v/>
      </c>
      <c r="I104" s="188"/>
      <c r="J104" s="188" t="str">
        <f>_xlfn.IFERROR(IF('Słownik PW'!$A$26=2010,"",INDEX('Tabela PW'!AC:AL,B104+1,'Słownik PW'!$A$26-2010)),"")</f>
        <v/>
      </c>
      <c r="K104" s="187"/>
      <c r="L104" s="189" t="str">
        <f>_xlfn.IFERROR(IF('Słownik PW'!$A$26=2010,"",H104/J104*100),"")</f>
        <v/>
      </c>
      <c r="M104" s="187"/>
      <c r="N104" s="399"/>
      <c r="O104" s="399"/>
      <c r="P104" s="187"/>
      <c r="Q104" s="189" t="str">
        <f>_xlfn.IFERROR(INDEX('Tabela PW'!AP:AP,B104+1,1),"")</f>
        <v/>
      </c>
      <c r="R104" s="187"/>
      <c r="S104" s="188" t="str">
        <f>IF('Słownik PW'!$A$11=FALSE,"",_xlfn.IFERROR(INDEX('Tabela PW'!$AC:$AI,B104+1,1),""))</f>
        <v/>
      </c>
      <c r="T104" s="188"/>
      <c r="U104" s="188" t="str">
        <f>IF('Słownik PW'!$A$11=FALSE,"",_xlfn.IFERROR(INDEX('Tabela PW'!$AC:$AI,B104+1,2),""))</f>
        <v/>
      </c>
      <c r="V104" s="188"/>
      <c r="W104" s="188" t="str">
        <f>IF('Słownik PW'!$A$11=FALSE,"",_xlfn.IFERROR(INDEX('Tabela PW'!$AC:$AI,B104+1,3),""))</f>
        <v/>
      </c>
      <c r="X104" s="188"/>
      <c r="Y104" s="188" t="str">
        <f>IF('Słownik PW'!$A$11=FALSE,"",_xlfn.IFERROR(INDEX('Tabela PW'!$AC:$AI,B104+1,4),""))</f>
        <v/>
      </c>
      <c r="Z104" s="193"/>
      <c r="AA104" s="188" t="str">
        <f>IF('Słownik PW'!$A$11=FALSE,"",_xlfn.IFERROR(INDEX('Tabela PW'!$AC:$AI,B104+1,5),""))</f>
        <v/>
      </c>
      <c r="AB104" s="191"/>
      <c r="AC104" s="188" t="str">
        <f>IF('Słownik PW'!$A$11=FALSE,"",_xlfn.IFERROR(INDEX('Tabela PW'!$AC:$AI,B104+1,6),""))</f>
        <v/>
      </c>
      <c r="AD104" s="191"/>
      <c r="AE104" s="188" t="str">
        <f>IF('Słownik PW'!$A$11=FALSE,"",_xlfn.IFERROR(INDEX('Tabela PW'!$AC:$AI,B104+1,7),""))</f>
        <v/>
      </c>
      <c r="AF104" s="191"/>
      <c r="AG104" s="188" t="str">
        <f>IF('Słownik PW'!$A$11=FALSE,"",_xlfn.IFERROR(INDEX('Tabela PW'!$AC:$AJ,B104+1,8),""))</f>
        <v/>
      </c>
      <c r="AH104" s="191"/>
      <c r="AI104" s="188" t="str">
        <f>IF('Słownik PW'!$A$11=FALSE,"",_xlfn.IFERROR(INDEX('Tabela PW'!$AC:$AK,B104+1,9),""))</f>
        <v/>
      </c>
      <c r="AJ104" s="191"/>
      <c r="AK104" s="188" t="str">
        <f>IF('Słownik PW'!$A$11=FALSE,"",_xlfn.IFERROR(INDEX('Tabela PW'!$AC:$AL,B104+1,10),""))</f>
        <v/>
      </c>
    </row>
    <row r="105" spans="2:37" s="182" customFormat="1" ht="22.5" customHeight="1">
      <c r="B105" s="184" t="str">
        <f t="shared" si="2"/>
        <v/>
      </c>
      <c r="D105" s="184" t="str">
        <f>_xlfn.IFERROR('Tabela PW'!Z76,"")</f>
        <v/>
      </c>
      <c r="E105" s="183"/>
      <c r="F105" s="186" t="str">
        <f>_xlfn.IFERROR('Tabela PW'!AA76,"")</f>
        <v/>
      </c>
      <c r="G105" s="184"/>
      <c r="H105" s="188" t="str">
        <f>_xlfn.IFERROR(INDEX('Tabela PW'!AC:AL,B105+1,'Słownik PW'!$A$26-2009),"")</f>
        <v/>
      </c>
      <c r="I105" s="188"/>
      <c r="J105" s="188" t="str">
        <f>_xlfn.IFERROR(IF('Słownik PW'!$A$26=2010,"",INDEX('Tabela PW'!AC:AL,B105+1,'Słownik PW'!$A$26-2010)),"")</f>
        <v/>
      </c>
      <c r="K105" s="187"/>
      <c r="L105" s="189" t="str">
        <f>_xlfn.IFERROR(IF('Słownik PW'!$A$26=2010,"",H105/J105*100),"")</f>
        <v/>
      </c>
      <c r="M105" s="187"/>
      <c r="N105" s="399"/>
      <c r="O105" s="399"/>
      <c r="P105" s="187"/>
      <c r="Q105" s="189" t="str">
        <f>_xlfn.IFERROR(INDEX('Tabela PW'!AP:AP,B105+1,1),"")</f>
        <v/>
      </c>
      <c r="R105" s="187"/>
      <c r="S105" s="188" t="str">
        <f>IF('Słownik PW'!$A$11=FALSE,"",_xlfn.IFERROR(INDEX('Tabela PW'!$AC:$AI,B105+1,1),""))</f>
        <v/>
      </c>
      <c r="T105" s="188"/>
      <c r="U105" s="188" t="str">
        <f>IF('Słownik PW'!$A$11=FALSE,"",_xlfn.IFERROR(INDEX('Tabela PW'!$AC:$AI,B105+1,2),""))</f>
        <v/>
      </c>
      <c r="V105" s="188"/>
      <c r="W105" s="188" t="str">
        <f>IF('Słownik PW'!$A$11=FALSE,"",_xlfn.IFERROR(INDEX('Tabela PW'!$AC:$AI,B105+1,3),""))</f>
        <v/>
      </c>
      <c r="X105" s="188"/>
      <c r="Y105" s="188" t="str">
        <f>IF('Słownik PW'!$A$11=FALSE,"",_xlfn.IFERROR(INDEX('Tabela PW'!$AC:$AI,B105+1,4),""))</f>
        <v/>
      </c>
      <c r="Z105" s="193"/>
      <c r="AA105" s="188" t="str">
        <f>IF('Słownik PW'!$A$11=FALSE,"",_xlfn.IFERROR(INDEX('Tabela PW'!$AC:$AI,B105+1,5),""))</f>
        <v/>
      </c>
      <c r="AB105" s="191"/>
      <c r="AC105" s="188" t="str">
        <f>IF('Słownik PW'!$A$11=FALSE,"",_xlfn.IFERROR(INDEX('Tabela PW'!$AC:$AI,B105+1,6),""))</f>
        <v/>
      </c>
      <c r="AD105" s="191"/>
      <c r="AE105" s="188" t="str">
        <f>IF('Słownik PW'!$A$11=FALSE,"",_xlfn.IFERROR(INDEX('Tabela PW'!$AC:$AI,B105+1,7),""))</f>
        <v/>
      </c>
      <c r="AF105" s="191"/>
      <c r="AG105" s="188" t="str">
        <f>IF('Słownik PW'!$A$11=FALSE,"",_xlfn.IFERROR(INDEX('Tabela PW'!$AC:$AJ,B105+1,8),""))</f>
        <v/>
      </c>
      <c r="AH105" s="191"/>
      <c r="AI105" s="188" t="str">
        <f>IF('Słownik PW'!$A$11=FALSE,"",_xlfn.IFERROR(INDEX('Tabela PW'!$AC:$AK,B105+1,9),""))</f>
        <v/>
      </c>
      <c r="AJ105" s="191"/>
      <c r="AK105" s="188" t="str">
        <f>IF('Słownik PW'!$A$11=FALSE,"",_xlfn.IFERROR(INDEX('Tabela PW'!$AC:$AL,B105+1,10),""))</f>
        <v/>
      </c>
    </row>
    <row r="106" spans="2:37" s="182" customFormat="1" ht="22.5" customHeight="1">
      <c r="B106" s="184" t="str">
        <f t="shared" si="2"/>
        <v/>
      </c>
      <c r="D106" s="184" t="str">
        <f>_xlfn.IFERROR('Tabela PW'!Z77,"")</f>
        <v/>
      </c>
      <c r="E106" s="183"/>
      <c r="F106" s="186" t="str">
        <f>_xlfn.IFERROR('Tabela PW'!AA77,"")</f>
        <v/>
      </c>
      <c r="G106" s="184"/>
      <c r="H106" s="188" t="str">
        <f>_xlfn.IFERROR(INDEX('Tabela PW'!AC:AL,B106+1,'Słownik PW'!$A$26-2009),"")</f>
        <v/>
      </c>
      <c r="I106" s="188"/>
      <c r="J106" s="188" t="str">
        <f>_xlfn.IFERROR(IF('Słownik PW'!$A$26=2010,"",INDEX('Tabela PW'!AC:AL,B106+1,'Słownik PW'!$A$26-2010)),"")</f>
        <v/>
      </c>
      <c r="K106" s="187"/>
      <c r="L106" s="189" t="str">
        <f>_xlfn.IFERROR(IF('Słownik PW'!$A$26=2010,"",H106/J106*100),"")</f>
        <v/>
      </c>
      <c r="M106" s="187"/>
      <c r="N106" s="399"/>
      <c r="O106" s="399"/>
      <c r="P106" s="187"/>
      <c r="Q106" s="189" t="str">
        <f>_xlfn.IFERROR(INDEX('Tabela PW'!AP:AP,B106+1,1),"")</f>
        <v/>
      </c>
      <c r="R106" s="187"/>
      <c r="S106" s="188" t="str">
        <f>IF('Słownik PW'!$A$11=FALSE,"",_xlfn.IFERROR(INDEX('Tabela PW'!$AC:$AI,B106+1,1),""))</f>
        <v/>
      </c>
      <c r="T106" s="188"/>
      <c r="U106" s="188" t="str">
        <f>IF('Słownik PW'!$A$11=FALSE,"",_xlfn.IFERROR(INDEX('Tabela PW'!$AC:$AI,B106+1,2),""))</f>
        <v/>
      </c>
      <c r="V106" s="188"/>
      <c r="W106" s="188" t="str">
        <f>IF('Słownik PW'!$A$11=FALSE,"",_xlfn.IFERROR(INDEX('Tabela PW'!$AC:$AI,B106+1,3),""))</f>
        <v/>
      </c>
      <c r="X106" s="188"/>
      <c r="Y106" s="188" t="str">
        <f>IF('Słownik PW'!$A$11=FALSE,"",_xlfn.IFERROR(INDEX('Tabela PW'!$AC:$AI,B106+1,4),""))</f>
        <v/>
      </c>
      <c r="Z106" s="193"/>
      <c r="AA106" s="188" t="str">
        <f>IF('Słownik PW'!$A$11=FALSE,"",_xlfn.IFERROR(INDEX('Tabela PW'!$AC:$AI,B106+1,5),""))</f>
        <v/>
      </c>
      <c r="AB106" s="191"/>
      <c r="AC106" s="188" t="str">
        <f>IF('Słownik PW'!$A$11=FALSE,"",_xlfn.IFERROR(INDEX('Tabela PW'!$AC:$AI,B106+1,6),""))</f>
        <v/>
      </c>
      <c r="AD106" s="191"/>
      <c r="AE106" s="188" t="str">
        <f>IF('Słownik PW'!$A$11=FALSE,"",_xlfn.IFERROR(INDEX('Tabela PW'!$AC:$AI,B106+1,7),""))</f>
        <v/>
      </c>
      <c r="AF106" s="191"/>
      <c r="AG106" s="188" t="str">
        <f>IF('Słownik PW'!$A$11=FALSE,"",_xlfn.IFERROR(INDEX('Tabela PW'!$AC:$AJ,B106+1,8),""))</f>
        <v/>
      </c>
      <c r="AH106" s="191"/>
      <c r="AI106" s="188" t="str">
        <f>IF('Słownik PW'!$A$11=FALSE,"",_xlfn.IFERROR(INDEX('Tabela PW'!$AC:$AK,B106+1,9),""))</f>
        <v/>
      </c>
      <c r="AJ106" s="191"/>
      <c r="AK106" s="188" t="str">
        <f>IF('Słownik PW'!$A$11=FALSE,"",_xlfn.IFERROR(INDEX('Tabela PW'!$AC:$AL,B106+1,10),""))</f>
        <v/>
      </c>
    </row>
    <row r="107" spans="2:37" s="182" customFormat="1" ht="22.5" customHeight="1">
      <c r="B107" s="184" t="str">
        <f t="shared" si="2"/>
        <v/>
      </c>
      <c r="D107" s="184" t="str">
        <f>_xlfn.IFERROR('Tabela PW'!Z78,"")</f>
        <v/>
      </c>
      <c r="E107" s="183"/>
      <c r="F107" s="186" t="str">
        <f>_xlfn.IFERROR('Tabela PW'!AA78,"")</f>
        <v/>
      </c>
      <c r="G107" s="184"/>
      <c r="H107" s="188" t="str">
        <f>_xlfn.IFERROR(INDEX('Tabela PW'!AC:AL,B107+1,'Słownik PW'!$A$26-2009),"")</f>
        <v/>
      </c>
      <c r="I107" s="188"/>
      <c r="J107" s="188" t="str">
        <f>_xlfn.IFERROR(IF('Słownik PW'!$A$26=2010,"",INDEX('Tabela PW'!AC:AL,B107+1,'Słownik PW'!$A$26-2010)),"")</f>
        <v/>
      </c>
      <c r="K107" s="187"/>
      <c r="L107" s="189" t="str">
        <f>_xlfn.IFERROR(IF('Słownik PW'!$A$26=2010,"",H107/J107*100),"")</f>
        <v/>
      </c>
      <c r="M107" s="187"/>
      <c r="N107" s="399"/>
      <c r="O107" s="399"/>
      <c r="P107" s="187"/>
      <c r="Q107" s="189" t="str">
        <f>_xlfn.IFERROR(INDEX('Tabela PW'!AP:AP,B107+1,1),"")</f>
        <v/>
      </c>
      <c r="R107" s="187"/>
      <c r="S107" s="188" t="str">
        <f>IF('Słownik PW'!$A$11=FALSE,"",_xlfn.IFERROR(INDEX('Tabela PW'!$AC:$AI,B107+1,1),""))</f>
        <v/>
      </c>
      <c r="T107" s="188"/>
      <c r="U107" s="188" t="str">
        <f>IF('Słownik PW'!$A$11=FALSE,"",_xlfn.IFERROR(INDEX('Tabela PW'!$AC:$AI,B107+1,2),""))</f>
        <v/>
      </c>
      <c r="V107" s="188"/>
      <c r="W107" s="188" t="str">
        <f>IF('Słownik PW'!$A$11=FALSE,"",_xlfn.IFERROR(INDEX('Tabela PW'!$AC:$AI,B107+1,3),""))</f>
        <v/>
      </c>
      <c r="X107" s="188"/>
      <c r="Y107" s="188" t="str">
        <f>IF('Słownik PW'!$A$11=FALSE,"",_xlfn.IFERROR(INDEX('Tabela PW'!$AC:$AI,B107+1,4),""))</f>
        <v/>
      </c>
      <c r="Z107" s="193"/>
      <c r="AA107" s="188" t="str">
        <f>IF('Słownik PW'!$A$11=FALSE,"",_xlfn.IFERROR(INDEX('Tabela PW'!$AC:$AI,B107+1,5),""))</f>
        <v/>
      </c>
      <c r="AB107" s="191"/>
      <c r="AC107" s="188" t="str">
        <f>IF('Słownik PW'!$A$11=FALSE,"",_xlfn.IFERROR(INDEX('Tabela PW'!$AC:$AI,B107+1,6),""))</f>
        <v/>
      </c>
      <c r="AD107" s="191"/>
      <c r="AE107" s="188" t="str">
        <f>IF('Słownik PW'!$A$11=FALSE,"",_xlfn.IFERROR(INDEX('Tabela PW'!$AC:$AI,B107+1,7),""))</f>
        <v/>
      </c>
      <c r="AF107" s="191"/>
      <c r="AG107" s="188" t="str">
        <f>IF('Słownik PW'!$A$11=FALSE,"",_xlfn.IFERROR(INDEX('Tabela PW'!$AC:$AJ,B107+1,8),""))</f>
        <v/>
      </c>
      <c r="AH107" s="191"/>
      <c r="AI107" s="188" t="str">
        <f>IF('Słownik PW'!$A$11=FALSE,"",_xlfn.IFERROR(INDEX('Tabela PW'!$AC:$AK,B107+1,9),""))</f>
        <v/>
      </c>
      <c r="AJ107" s="191"/>
      <c r="AK107" s="188" t="str">
        <f>IF('Słownik PW'!$A$11=FALSE,"",_xlfn.IFERROR(INDEX('Tabela PW'!$AC:$AL,B107+1,10),""))</f>
        <v/>
      </c>
    </row>
    <row r="108" spans="2:37" s="182" customFormat="1" ht="22.5" customHeight="1">
      <c r="B108" s="184" t="str">
        <f t="shared" si="2"/>
        <v/>
      </c>
      <c r="D108" s="184" t="str">
        <f>_xlfn.IFERROR('Tabela PW'!Z79,"")</f>
        <v/>
      </c>
      <c r="E108" s="183"/>
      <c r="F108" s="186" t="str">
        <f>_xlfn.IFERROR('Tabela PW'!AA79,"")</f>
        <v/>
      </c>
      <c r="G108" s="184"/>
      <c r="H108" s="188" t="str">
        <f>_xlfn.IFERROR(INDEX('Tabela PW'!AC:AL,B108+1,'Słownik PW'!$A$26-2009),"")</f>
        <v/>
      </c>
      <c r="I108" s="188"/>
      <c r="J108" s="188" t="str">
        <f>_xlfn.IFERROR(IF('Słownik PW'!$A$26=2010,"",INDEX('Tabela PW'!AC:AL,B108+1,'Słownik PW'!$A$26-2010)),"")</f>
        <v/>
      </c>
      <c r="K108" s="187"/>
      <c r="L108" s="189" t="str">
        <f>_xlfn.IFERROR(IF('Słownik PW'!$A$26=2010,"",H108/J108*100),"")</f>
        <v/>
      </c>
      <c r="M108" s="187"/>
      <c r="N108" s="399"/>
      <c r="O108" s="399"/>
      <c r="P108" s="187"/>
      <c r="Q108" s="189" t="str">
        <f>_xlfn.IFERROR(INDEX('Tabela PW'!AP:AP,B108+1,1),"")</f>
        <v/>
      </c>
      <c r="R108" s="187"/>
      <c r="S108" s="188" t="str">
        <f>IF('Słownik PW'!$A$11=FALSE,"",_xlfn.IFERROR(INDEX('Tabela PW'!$AC:$AI,B108+1,1),""))</f>
        <v/>
      </c>
      <c r="T108" s="188"/>
      <c r="U108" s="188" t="str">
        <f>IF('Słownik PW'!$A$11=FALSE,"",_xlfn.IFERROR(INDEX('Tabela PW'!$AC:$AI,B108+1,2),""))</f>
        <v/>
      </c>
      <c r="V108" s="188"/>
      <c r="W108" s="188" t="str">
        <f>IF('Słownik PW'!$A$11=FALSE,"",_xlfn.IFERROR(INDEX('Tabela PW'!$AC:$AI,B108+1,3),""))</f>
        <v/>
      </c>
      <c r="X108" s="188"/>
      <c r="Y108" s="188" t="str">
        <f>IF('Słownik PW'!$A$11=FALSE,"",_xlfn.IFERROR(INDEX('Tabela PW'!$AC:$AI,B108+1,4),""))</f>
        <v/>
      </c>
      <c r="Z108" s="193"/>
      <c r="AA108" s="188" t="str">
        <f>IF('Słownik PW'!$A$11=FALSE,"",_xlfn.IFERROR(INDEX('Tabela PW'!$AC:$AI,B108+1,5),""))</f>
        <v/>
      </c>
      <c r="AB108" s="191"/>
      <c r="AC108" s="188" t="str">
        <f>IF('Słownik PW'!$A$11=FALSE,"",_xlfn.IFERROR(INDEX('Tabela PW'!$AC:$AI,B108+1,6),""))</f>
        <v/>
      </c>
      <c r="AD108" s="191"/>
      <c r="AE108" s="188" t="str">
        <f>IF('Słownik PW'!$A$11=FALSE,"",_xlfn.IFERROR(INDEX('Tabela PW'!$AC:$AI,B108+1,7),""))</f>
        <v/>
      </c>
      <c r="AF108" s="191"/>
      <c r="AG108" s="188" t="str">
        <f>IF('Słownik PW'!$A$11=FALSE,"",_xlfn.IFERROR(INDEX('Tabela PW'!$AC:$AJ,B108+1,8),""))</f>
        <v/>
      </c>
      <c r="AH108" s="191"/>
      <c r="AI108" s="188" t="str">
        <f>IF('Słownik PW'!$A$11=FALSE,"",_xlfn.IFERROR(INDEX('Tabela PW'!$AC:$AK,B108+1,9),""))</f>
        <v/>
      </c>
      <c r="AJ108" s="191"/>
      <c r="AK108" s="188" t="str">
        <f>IF('Słownik PW'!$A$11=FALSE,"",_xlfn.IFERROR(INDEX('Tabela PW'!$AC:$AL,B108+1,10),""))</f>
        <v/>
      </c>
    </row>
    <row r="109" spans="2:37" s="182" customFormat="1" ht="22.5" customHeight="1">
      <c r="B109" s="184" t="str">
        <f t="shared" si="2"/>
        <v/>
      </c>
      <c r="D109" s="184" t="str">
        <f>_xlfn.IFERROR('Tabela PW'!Z80,"")</f>
        <v/>
      </c>
      <c r="E109" s="183"/>
      <c r="F109" s="186" t="str">
        <f>_xlfn.IFERROR('Tabela PW'!AA80,"")</f>
        <v/>
      </c>
      <c r="G109" s="184"/>
      <c r="H109" s="188" t="str">
        <f>_xlfn.IFERROR(INDEX('Tabela PW'!AC:AL,B109+1,'Słownik PW'!$A$26-2009),"")</f>
        <v/>
      </c>
      <c r="I109" s="188"/>
      <c r="J109" s="188" t="str">
        <f>_xlfn.IFERROR(IF('Słownik PW'!$A$26=2010,"",INDEX('Tabela PW'!AC:AL,B109+1,'Słownik PW'!$A$26-2010)),"")</f>
        <v/>
      </c>
      <c r="K109" s="187"/>
      <c r="L109" s="189" t="str">
        <f>_xlfn.IFERROR(IF('Słownik PW'!$A$26=2010,"",H109/J109*100),"")</f>
        <v/>
      </c>
      <c r="M109" s="187"/>
      <c r="N109" s="399"/>
      <c r="O109" s="399"/>
      <c r="P109" s="187"/>
      <c r="Q109" s="189" t="str">
        <f>_xlfn.IFERROR(INDEX('Tabela PW'!AP:AP,B109+1,1),"")</f>
        <v/>
      </c>
      <c r="R109" s="187"/>
      <c r="S109" s="188" t="str">
        <f>IF('Słownik PW'!$A$11=FALSE,"",_xlfn.IFERROR(INDEX('Tabela PW'!$AC:$AI,B109+1,1),""))</f>
        <v/>
      </c>
      <c r="T109" s="188"/>
      <c r="U109" s="188" t="str">
        <f>IF('Słownik PW'!$A$11=FALSE,"",_xlfn.IFERROR(INDEX('Tabela PW'!$AC:$AI,B109+1,2),""))</f>
        <v/>
      </c>
      <c r="V109" s="188"/>
      <c r="W109" s="188" t="str">
        <f>IF('Słownik PW'!$A$11=FALSE,"",_xlfn.IFERROR(INDEX('Tabela PW'!$AC:$AI,B109+1,3),""))</f>
        <v/>
      </c>
      <c r="X109" s="188"/>
      <c r="Y109" s="188" t="str">
        <f>IF('Słownik PW'!$A$11=FALSE,"",_xlfn.IFERROR(INDEX('Tabela PW'!$AC:$AI,B109+1,4),""))</f>
        <v/>
      </c>
      <c r="Z109" s="193"/>
      <c r="AA109" s="188" t="str">
        <f>IF('Słownik PW'!$A$11=FALSE,"",_xlfn.IFERROR(INDEX('Tabela PW'!$AC:$AI,B109+1,5),""))</f>
        <v/>
      </c>
      <c r="AB109" s="191"/>
      <c r="AC109" s="188" t="str">
        <f>IF('Słownik PW'!$A$11=FALSE,"",_xlfn.IFERROR(INDEX('Tabela PW'!$AC:$AI,B109+1,6),""))</f>
        <v/>
      </c>
      <c r="AD109" s="191"/>
      <c r="AE109" s="188" t="str">
        <f>IF('Słownik PW'!$A$11=FALSE,"",_xlfn.IFERROR(INDEX('Tabela PW'!$AC:$AI,B109+1,7),""))</f>
        <v/>
      </c>
      <c r="AF109" s="191"/>
      <c r="AG109" s="188" t="str">
        <f>IF('Słownik PW'!$A$11=FALSE,"",_xlfn.IFERROR(INDEX('Tabela PW'!$AC:$AJ,B109+1,8),""))</f>
        <v/>
      </c>
      <c r="AH109" s="191"/>
      <c r="AI109" s="188" t="str">
        <f>IF('Słownik PW'!$A$11=FALSE,"",_xlfn.IFERROR(INDEX('Tabela PW'!$AC:$AK,B109+1,9),""))</f>
        <v/>
      </c>
      <c r="AJ109" s="191"/>
      <c r="AK109" s="188" t="str">
        <f>IF('Słownik PW'!$A$11=FALSE,"",_xlfn.IFERROR(INDEX('Tabela PW'!$AC:$AL,B109+1,10),""))</f>
        <v/>
      </c>
    </row>
    <row r="110" spans="2:37" s="182" customFormat="1" ht="22.5" customHeight="1">
      <c r="B110" s="184" t="str">
        <f t="shared" si="2"/>
        <v/>
      </c>
      <c r="D110" s="184" t="str">
        <f>_xlfn.IFERROR('Tabela PW'!Z81,"")</f>
        <v/>
      </c>
      <c r="E110" s="183"/>
      <c r="F110" s="186" t="str">
        <f>_xlfn.IFERROR('Tabela PW'!AA81,"")</f>
        <v/>
      </c>
      <c r="G110" s="184"/>
      <c r="H110" s="188" t="str">
        <f>_xlfn.IFERROR(INDEX('Tabela PW'!AC:AL,B110+1,'Słownik PW'!$A$26-2009),"")</f>
        <v/>
      </c>
      <c r="I110" s="188"/>
      <c r="J110" s="188" t="str">
        <f>_xlfn.IFERROR(IF('Słownik PW'!$A$26=2010,"",INDEX('Tabela PW'!AC:AL,B110+1,'Słownik PW'!$A$26-2010)),"")</f>
        <v/>
      </c>
      <c r="K110" s="187"/>
      <c r="L110" s="189" t="str">
        <f>_xlfn.IFERROR(IF('Słownik PW'!$A$26=2010,"",H110/J110*100),"")</f>
        <v/>
      </c>
      <c r="M110" s="187"/>
      <c r="N110" s="399"/>
      <c r="O110" s="399"/>
      <c r="P110" s="187"/>
      <c r="Q110" s="189" t="str">
        <f>_xlfn.IFERROR(INDEX('Tabela PW'!AP:AP,B110+1,1),"")</f>
        <v/>
      </c>
      <c r="R110" s="187"/>
      <c r="S110" s="188" t="str">
        <f>IF('Słownik PW'!$A$11=FALSE,"",_xlfn.IFERROR(INDEX('Tabela PW'!$AC:$AI,B110+1,1),""))</f>
        <v/>
      </c>
      <c r="T110" s="188"/>
      <c r="U110" s="188" t="str">
        <f>IF('Słownik PW'!$A$11=FALSE,"",_xlfn.IFERROR(INDEX('Tabela PW'!$AC:$AI,B110+1,2),""))</f>
        <v/>
      </c>
      <c r="V110" s="188"/>
      <c r="W110" s="188" t="str">
        <f>IF('Słownik PW'!$A$11=FALSE,"",_xlfn.IFERROR(INDEX('Tabela PW'!$AC:$AI,B110+1,3),""))</f>
        <v/>
      </c>
      <c r="X110" s="188"/>
      <c r="Y110" s="188" t="str">
        <f>IF('Słownik PW'!$A$11=FALSE,"",_xlfn.IFERROR(INDEX('Tabela PW'!$AC:$AI,B110+1,4),""))</f>
        <v/>
      </c>
      <c r="Z110" s="193"/>
      <c r="AA110" s="188" t="str">
        <f>IF('Słownik PW'!$A$11=FALSE,"",_xlfn.IFERROR(INDEX('Tabela PW'!$AC:$AI,B110+1,5),""))</f>
        <v/>
      </c>
      <c r="AB110" s="191"/>
      <c r="AC110" s="188" t="str">
        <f>IF('Słownik PW'!$A$11=FALSE,"",_xlfn.IFERROR(INDEX('Tabela PW'!$AC:$AI,B110+1,6),""))</f>
        <v/>
      </c>
      <c r="AD110" s="191"/>
      <c r="AE110" s="188" t="str">
        <f>IF('Słownik PW'!$A$11=FALSE,"",_xlfn.IFERROR(INDEX('Tabela PW'!$AC:$AI,B110+1,7),""))</f>
        <v/>
      </c>
      <c r="AF110" s="191"/>
      <c r="AG110" s="188" t="str">
        <f>IF('Słownik PW'!$A$11=FALSE,"",_xlfn.IFERROR(INDEX('Tabela PW'!$AC:$AJ,B110+1,8),""))</f>
        <v/>
      </c>
      <c r="AH110" s="191"/>
      <c r="AI110" s="188" t="str">
        <f>IF('Słownik PW'!$A$11=FALSE,"",_xlfn.IFERROR(INDEX('Tabela PW'!$AC:$AK,B110+1,9),""))</f>
        <v/>
      </c>
      <c r="AJ110" s="191"/>
      <c r="AK110" s="188" t="str">
        <f>IF('Słownik PW'!$A$11=FALSE,"",_xlfn.IFERROR(INDEX('Tabela PW'!$AC:$AL,B110+1,10),""))</f>
        <v/>
      </c>
    </row>
    <row r="111" spans="2:37" s="182" customFormat="1" ht="22.5" customHeight="1">
      <c r="B111" s="184" t="str">
        <f t="shared" si="2"/>
        <v/>
      </c>
      <c r="D111" s="184" t="str">
        <f>_xlfn.IFERROR('Tabela PW'!Z82,"")</f>
        <v/>
      </c>
      <c r="E111" s="183"/>
      <c r="F111" s="186" t="str">
        <f>_xlfn.IFERROR('Tabela PW'!AA82,"")</f>
        <v/>
      </c>
      <c r="G111" s="184"/>
      <c r="H111" s="188" t="str">
        <f>_xlfn.IFERROR(INDEX('Tabela PW'!AC:AL,B111+1,'Słownik PW'!$A$26-2009),"")</f>
        <v/>
      </c>
      <c r="I111" s="188"/>
      <c r="J111" s="188" t="str">
        <f>_xlfn.IFERROR(IF('Słownik PW'!$A$26=2010,"",INDEX('Tabela PW'!AC:AL,B111+1,'Słownik PW'!$A$26-2010)),"")</f>
        <v/>
      </c>
      <c r="K111" s="187"/>
      <c r="L111" s="189" t="str">
        <f>_xlfn.IFERROR(IF('Słownik PW'!$A$26=2010,"",H111/J111*100),"")</f>
        <v/>
      </c>
      <c r="M111" s="187"/>
      <c r="N111" s="399"/>
      <c r="O111" s="399"/>
      <c r="P111" s="187"/>
      <c r="Q111" s="189" t="str">
        <f>_xlfn.IFERROR(INDEX('Tabela PW'!AP:AP,B111+1,1),"")</f>
        <v/>
      </c>
      <c r="R111" s="187"/>
      <c r="S111" s="188" t="str">
        <f>IF('Słownik PW'!$A$11=FALSE,"",_xlfn.IFERROR(INDEX('Tabela PW'!$AC:$AI,B111+1,1),""))</f>
        <v/>
      </c>
      <c r="T111" s="188"/>
      <c r="U111" s="188" t="str">
        <f>IF('Słownik PW'!$A$11=FALSE,"",_xlfn.IFERROR(INDEX('Tabela PW'!$AC:$AI,B111+1,2),""))</f>
        <v/>
      </c>
      <c r="V111" s="188"/>
      <c r="W111" s="188" t="str">
        <f>IF('Słownik PW'!$A$11=FALSE,"",_xlfn.IFERROR(INDEX('Tabela PW'!$AC:$AI,B111+1,3),""))</f>
        <v/>
      </c>
      <c r="X111" s="188"/>
      <c r="Y111" s="188" t="str">
        <f>IF('Słownik PW'!$A$11=FALSE,"",_xlfn.IFERROR(INDEX('Tabela PW'!$AC:$AI,B111+1,4),""))</f>
        <v/>
      </c>
      <c r="Z111" s="193"/>
      <c r="AA111" s="188" t="str">
        <f>IF('Słownik PW'!$A$11=FALSE,"",_xlfn.IFERROR(INDEX('Tabela PW'!$AC:$AI,B111+1,5),""))</f>
        <v/>
      </c>
      <c r="AB111" s="191"/>
      <c r="AC111" s="188" t="str">
        <f>IF('Słownik PW'!$A$11=FALSE,"",_xlfn.IFERROR(INDEX('Tabela PW'!$AC:$AI,B111+1,6),""))</f>
        <v/>
      </c>
      <c r="AD111" s="191"/>
      <c r="AE111" s="188" t="str">
        <f>IF('Słownik PW'!$A$11=FALSE,"",_xlfn.IFERROR(INDEX('Tabela PW'!$AC:$AI,B111+1,7),""))</f>
        <v/>
      </c>
      <c r="AF111" s="191"/>
      <c r="AG111" s="188" t="str">
        <f>IF('Słownik PW'!$A$11=FALSE,"",_xlfn.IFERROR(INDEX('Tabela PW'!$AC:$AJ,B111+1,8),""))</f>
        <v/>
      </c>
      <c r="AH111" s="191"/>
      <c r="AI111" s="188" t="str">
        <f>IF('Słownik PW'!$A$11=FALSE,"",_xlfn.IFERROR(INDEX('Tabela PW'!$AC:$AK,B111+1,9),""))</f>
        <v/>
      </c>
      <c r="AJ111" s="191"/>
      <c r="AK111" s="188" t="str">
        <f>IF('Słownik PW'!$A$11=FALSE,"",_xlfn.IFERROR(INDEX('Tabela PW'!$AC:$AL,B111+1,10),""))</f>
        <v/>
      </c>
    </row>
    <row r="112" spans="2:37" s="182" customFormat="1" ht="22.5" customHeight="1">
      <c r="B112" s="184" t="str">
        <f t="shared" si="2"/>
        <v/>
      </c>
      <c r="D112" s="184" t="str">
        <f>_xlfn.IFERROR('Tabela PW'!Z83,"")</f>
        <v/>
      </c>
      <c r="E112" s="183"/>
      <c r="F112" s="186" t="str">
        <f>_xlfn.IFERROR('Tabela PW'!AA83,"")</f>
        <v/>
      </c>
      <c r="G112" s="184"/>
      <c r="H112" s="188" t="str">
        <f>_xlfn.IFERROR(INDEX('Tabela PW'!AC:AL,B112+1,'Słownik PW'!$A$26-2009),"")</f>
        <v/>
      </c>
      <c r="I112" s="188"/>
      <c r="J112" s="188" t="str">
        <f>_xlfn.IFERROR(IF('Słownik PW'!$A$26=2010,"",INDEX('Tabela PW'!AC:AL,B112+1,'Słownik PW'!$A$26-2010)),"")</f>
        <v/>
      </c>
      <c r="K112" s="187"/>
      <c r="L112" s="189" t="str">
        <f>_xlfn.IFERROR(IF('Słownik PW'!$A$26=2010,"",H112/J112*100),"")</f>
        <v/>
      </c>
      <c r="M112" s="187"/>
      <c r="N112" s="399"/>
      <c r="O112" s="399"/>
      <c r="P112" s="187"/>
      <c r="Q112" s="189" t="str">
        <f>_xlfn.IFERROR(INDEX('Tabela PW'!AP:AP,B112+1,1),"")</f>
        <v/>
      </c>
      <c r="R112" s="187"/>
      <c r="S112" s="188" t="str">
        <f>IF('Słownik PW'!$A$11=FALSE,"",_xlfn.IFERROR(INDEX('Tabela PW'!$AC:$AI,B112+1,1),""))</f>
        <v/>
      </c>
      <c r="T112" s="188"/>
      <c r="U112" s="188" t="str">
        <f>IF('Słownik PW'!$A$11=FALSE,"",_xlfn.IFERROR(INDEX('Tabela PW'!$AC:$AI,B112+1,2),""))</f>
        <v/>
      </c>
      <c r="V112" s="188"/>
      <c r="W112" s="188" t="str">
        <f>IF('Słownik PW'!$A$11=FALSE,"",_xlfn.IFERROR(INDEX('Tabela PW'!$AC:$AI,B112+1,3),""))</f>
        <v/>
      </c>
      <c r="X112" s="188"/>
      <c r="Y112" s="188" t="str">
        <f>IF('Słownik PW'!$A$11=FALSE,"",_xlfn.IFERROR(INDEX('Tabela PW'!$AC:$AI,B112+1,4),""))</f>
        <v/>
      </c>
      <c r="Z112" s="193"/>
      <c r="AA112" s="188" t="str">
        <f>IF('Słownik PW'!$A$11=FALSE,"",_xlfn.IFERROR(INDEX('Tabela PW'!$AC:$AI,B112+1,5),""))</f>
        <v/>
      </c>
      <c r="AB112" s="191"/>
      <c r="AC112" s="188" t="str">
        <f>IF('Słownik PW'!$A$11=FALSE,"",_xlfn.IFERROR(INDEX('Tabela PW'!$AC:$AI,B112+1,6),""))</f>
        <v/>
      </c>
      <c r="AD112" s="191"/>
      <c r="AE112" s="188" t="str">
        <f>IF('Słownik PW'!$A$11=FALSE,"",_xlfn.IFERROR(INDEX('Tabela PW'!$AC:$AI,B112+1,7),""))</f>
        <v/>
      </c>
      <c r="AF112" s="191"/>
      <c r="AG112" s="188" t="str">
        <f>IF('Słownik PW'!$A$11=FALSE,"",_xlfn.IFERROR(INDEX('Tabela PW'!$AC:$AJ,B112+1,8),""))</f>
        <v/>
      </c>
      <c r="AH112" s="191"/>
      <c r="AI112" s="188" t="str">
        <f>IF('Słownik PW'!$A$11=FALSE,"",_xlfn.IFERROR(INDEX('Tabela PW'!$AC:$AK,B112+1,9),""))</f>
        <v/>
      </c>
      <c r="AJ112" s="191"/>
      <c r="AK112" s="188" t="str">
        <f>IF('Słownik PW'!$A$11=FALSE,"",_xlfn.IFERROR(INDEX('Tabela PW'!$AC:$AL,B112+1,10),""))</f>
        <v/>
      </c>
    </row>
    <row r="113" spans="2:37" s="182" customFormat="1" ht="22.5" customHeight="1">
      <c r="B113" s="184" t="str">
        <f t="shared" si="2"/>
        <v/>
      </c>
      <c r="D113" s="184" t="str">
        <f>_xlfn.IFERROR('Tabela PW'!Z84,"")</f>
        <v/>
      </c>
      <c r="E113" s="183"/>
      <c r="F113" s="186" t="str">
        <f>_xlfn.IFERROR('Tabela PW'!AA84,"")</f>
        <v/>
      </c>
      <c r="G113" s="184"/>
      <c r="H113" s="188" t="str">
        <f>_xlfn.IFERROR(INDEX('Tabela PW'!AC:AL,B113+1,'Słownik PW'!$A$26-2009),"")</f>
        <v/>
      </c>
      <c r="I113" s="188"/>
      <c r="J113" s="188" t="str">
        <f>_xlfn.IFERROR(IF('Słownik PW'!$A$26=2010,"",INDEX('Tabela PW'!AC:AL,B113+1,'Słownik PW'!$A$26-2010)),"")</f>
        <v/>
      </c>
      <c r="K113" s="187"/>
      <c r="L113" s="189" t="str">
        <f>_xlfn.IFERROR(IF('Słownik PW'!$A$26=2010,"",H113/J113*100),"")</f>
        <v/>
      </c>
      <c r="M113" s="187"/>
      <c r="N113" s="399"/>
      <c r="O113" s="399"/>
      <c r="P113" s="187"/>
      <c r="Q113" s="189" t="str">
        <f>_xlfn.IFERROR(INDEX('Tabela PW'!AP:AP,B113+1,1),"")</f>
        <v/>
      </c>
      <c r="R113" s="187"/>
      <c r="S113" s="188" t="str">
        <f>IF('Słownik PW'!$A$11=FALSE,"",_xlfn.IFERROR(INDEX('Tabela PW'!$AC:$AI,B113+1,1),""))</f>
        <v/>
      </c>
      <c r="T113" s="188"/>
      <c r="U113" s="188" t="str">
        <f>IF('Słownik PW'!$A$11=FALSE,"",_xlfn.IFERROR(INDEX('Tabela PW'!$AC:$AI,B113+1,2),""))</f>
        <v/>
      </c>
      <c r="V113" s="188"/>
      <c r="W113" s="188" t="str">
        <f>IF('Słownik PW'!$A$11=FALSE,"",_xlfn.IFERROR(INDEX('Tabela PW'!$AC:$AI,B113+1,3),""))</f>
        <v/>
      </c>
      <c r="X113" s="188"/>
      <c r="Y113" s="188" t="str">
        <f>IF('Słownik PW'!$A$11=FALSE,"",_xlfn.IFERROR(INDEX('Tabela PW'!$AC:$AI,B113+1,4),""))</f>
        <v/>
      </c>
      <c r="Z113" s="193"/>
      <c r="AA113" s="188" t="str">
        <f>IF('Słownik PW'!$A$11=FALSE,"",_xlfn.IFERROR(INDEX('Tabela PW'!$AC:$AI,B113+1,5),""))</f>
        <v/>
      </c>
      <c r="AB113" s="191"/>
      <c r="AC113" s="188" t="str">
        <f>IF('Słownik PW'!$A$11=FALSE,"",_xlfn.IFERROR(INDEX('Tabela PW'!$AC:$AI,B113+1,6),""))</f>
        <v/>
      </c>
      <c r="AD113" s="191"/>
      <c r="AE113" s="188" t="str">
        <f>IF('Słownik PW'!$A$11=FALSE,"",_xlfn.IFERROR(INDEX('Tabela PW'!$AC:$AI,B113+1,7),""))</f>
        <v/>
      </c>
      <c r="AF113" s="191"/>
      <c r="AG113" s="188" t="str">
        <f>IF('Słownik PW'!$A$11=FALSE,"",_xlfn.IFERROR(INDEX('Tabela PW'!$AC:$AJ,B113+1,8),""))</f>
        <v/>
      </c>
      <c r="AH113" s="191"/>
      <c r="AI113" s="188" t="str">
        <f>IF('Słownik PW'!$A$11=FALSE,"",_xlfn.IFERROR(INDEX('Tabela PW'!$AC:$AK,B113+1,9),""))</f>
        <v/>
      </c>
      <c r="AJ113" s="191"/>
      <c r="AK113" s="188" t="str">
        <f>IF('Słownik PW'!$A$11=FALSE,"",_xlfn.IFERROR(INDEX('Tabela PW'!$AC:$AL,B113+1,10),""))</f>
        <v/>
      </c>
    </row>
    <row r="114" spans="2:37" s="182" customFormat="1" ht="22.5" customHeight="1">
      <c r="B114" s="184" t="str">
        <f t="shared" si="2"/>
        <v/>
      </c>
      <c r="D114" s="184" t="str">
        <f>_xlfn.IFERROR('Tabela PW'!Z85,"")</f>
        <v/>
      </c>
      <c r="E114" s="183"/>
      <c r="F114" s="186" t="str">
        <f>_xlfn.IFERROR('Tabela PW'!AA85,"")</f>
        <v/>
      </c>
      <c r="G114" s="184"/>
      <c r="H114" s="188" t="str">
        <f>_xlfn.IFERROR(INDEX('Tabela PW'!AC:AL,B114+1,'Słownik PW'!$A$26-2009),"")</f>
        <v/>
      </c>
      <c r="I114" s="188"/>
      <c r="J114" s="188" t="str">
        <f>_xlfn.IFERROR(IF('Słownik PW'!$A$26=2010,"",INDEX('Tabela PW'!AC:AL,B114+1,'Słownik PW'!$A$26-2010)),"")</f>
        <v/>
      </c>
      <c r="K114" s="187"/>
      <c r="L114" s="189" t="str">
        <f>_xlfn.IFERROR(IF('Słownik PW'!$A$26=2010,"",H114/J114*100),"")</f>
        <v/>
      </c>
      <c r="M114" s="187"/>
      <c r="N114" s="399"/>
      <c r="O114" s="399"/>
      <c r="P114" s="187"/>
      <c r="Q114" s="189" t="str">
        <f>_xlfn.IFERROR(INDEX('Tabela PW'!AP:AP,B114+1,1),"")</f>
        <v/>
      </c>
      <c r="R114" s="187"/>
      <c r="S114" s="188" t="str">
        <f>IF('Słownik PW'!$A$11=FALSE,"",_xlfn.IFERROR(INDEX('Tabela PW'!$AC:$AI,B114+1,1),""))</f>
        <v/>
      </c>
      <c r="T114" s="188"/>
      <c r="U114" s="188" t="str">
        <f>IF('Słownik PW'!$A$11=FALSE,"",_xlfn.IFERROR(INDEX('Tabela PW'!$AC:$AI,B114+1,2),""))</f>
        <v/>
      </c>
      <c r="V114" s="188"/>
      <c r="W114" s="188" t="str">
        <f>IF('Słownik PW'!$A$11=FALSE,"",_xlfn.IFERROR(INDEX('Tabela PW'!$AC:$AI,B114+1,3),""))</f>
        <v/>
      </c>
      <c r="X114" s="188"/>
      <c r="Y114" s="188" t="str">
        <f>IF('Słownik PW'!$A$11=FALSE,"",_xlfn.IFERROR(INDEX('Tabela PW'!$AC:$AI,B114+1,4),""))</f>
        <v/>
      </c>
      <c r="Z114" s="193"/>
      <c r="AA114" s="188" t="str">
        <f>IF('Słownik PW'!$A$11=FALSE,"",_xlfn.IFERROR(INDEX('Tabela PW'!$AC:$AI,B114+1,5),""))</f>
        <v/>
      </c>
      <c r="AB114" s="191"/>
      <c r="AC114" s="188" t="str">
        <f>IF('Słownik PW'!$A$11=FALSE,"",_xlfn.IFERROR(INDEX('Tabela PW'!$AC:$AI,B114+1,6),""))</f>
        <v/>
      </c>
      <c r="AD114" s="191"/>
      <c r="AE114" s="188" t="str">
        <f>IF('Słownik PW'!$A$11=FALSE,"",_xlfn.IFERROR(INDEX('Tabela PW'!$AC:$AI,B114+1,7),""))</f>
        <v/>
      </c>
      <c r="AF114" s="191"/>
      <c r="AG114" s="188" t="str">
        <f>IF('Słownik PW'!$A$11=FALSE,"",_xlfn.IFERROR(INDEX('Tabela PW'!$AC:$AJ,B114+1,8),""))</f>
        <v/>
      </c>
      <c r="AH114" s="191"/>
      <c r="AI114" s="188" t="str">
        <f>IF('Słownik PW'!$A$11=FALSE,"",_xlfn.IFERROR(INDEX('Tabela PW'!$AC:$AK,B114+1,9),""))</f>
        <v/>
      </c>
      <c r="AJ114" s="191"/>
      <c r="AK114" s="188" t="str">
        <f>IF('Słownik PW'!$A$11=FALSE,"",_xlfn.IFERROR(INDEX('Tabela PW'!$AC:$AL,B114+1,10),""))</f>
        <v/>
      </c>
    </row>
    <row r="115" spans="2:37" s="182" customFormat="1" ht="22.5" customHeight="1">
      <c r="B115" s="184" t="str">
        <f t="shared" si="2"/>
        <v/>
      </c>
      <c r="D115" s="184" t="str">
        <f>_xlfn.IFERROR('Tabela PW'!Z86,"")</f>
        <v/>
      </c>
      <c r="E115" s="183"/>
      <c r="F115" s="186" t="str">
        <f>_xlfn.IFERROR('Tabela PW'!AA86,"")</f>
        <v/>
      </c>
      <c r="G115" s="184"/>
      <c r="H115" s="188" t="str">
        <f>_xlfn.IFERROR(INDEX('Tabela PW'!AC:AL,B115+1,'Słownik PW'!$A$26-2009),"")</f>
        <v/>
      </c>
      <c r="I115" s="188"/>
      <c r="J115" s="188" t="str">
        <f>_xlfn.IFERROR(IF('Słownik PW'!$A$26=2010,"",INDEX('Tabela PW'!AC:AL,B115+1,'Słownik PW'!$A$26-2010)),"")</f>
        <v/>
      </c>
      <c r="K115" s="187"/>
      <c r="L115" s="189" t="str">
        <f>_xlfn.IFERROR(IF('Słownik PW'!$A$26=2010,"",H115/J115*100),"")</f>
        <v/>
      </c>
      <c r="M115" s="187"/>
      <c r="N115" s="399"/>
      <c r="O115" s="399"/>
      <c r="P115" s="187"/>
      <c r="Q115" s="189" t="str">
        <f>_xlfn.IFERROR(INDEX('Tabela PW'!AP:AP,B115+1,1),"")</f>
        <v/>
      </c>
      <c r="R115" s="187"/>
      <c r="S115" s="188" t="str">
        <f>IF('Słownik PW'!$A$11=FALSE,"",_xlfn.IFERROR(INDEX('Tabela PW'!$AC:$AI,B115+1,1),""))</f>
        <v/>
      </c>
      <c r="T115" s="188"/>
      <c r="U115" s="188" t="str">
        <f>IF('Słownik PW'!$A$11=FALSE,"",_xlfn.IFERROR(INDEX('Tabela PW'!$AC:$AI,B115+1,2),""))</f>
        <v/>
      </c>
      <c r="V115" s="188"/>
      <c r="W115" s="188" t="str">
        <f>IF('Słownik PW'!$A$11=FALSE,"",_xlfn.IFERROR(INDEX('Tabela PW'!$AC:$AI,B115+1,3),""))</f>
        <v/>
      </c>
      <c r="X115" s="188"/>
      <c r="Y115" s="188" t="str">
        <f>IF('Słownik PW'!$A$11=FALSE,"",_xlfn.IFERROR(INDEX('Tabela PW'!$AC:$AI,B115+1,4),""))</f>
        <v/>
      </c>
      <c r="Z115" s="193"/>
      <c r="AA115" s="188" t="str">
        <f>IF('Słownik PW'!$A$11=FALSE,"",_xlfn.IFERROR(INDEX('Tabela PW'!$AC:$AI,B115+1,5),""))</f>
        <v/>
      </c>
      <c r="AB115" s="191"/>
      <c r="AC115" s="188" t="str">
        <f>IF('Słownik PW'!$A$11=FALSE,"",_xlfn.IFERROR(INDEX('Tabela PW'!$AC:$AI,B115+1,6),""))</f>
        <v/>
      </c>
      <c r="AD115" s="191"/>
      <c r="AE115" s="188" t="str">
        <f>IF('Słownik PW'!$A$11=FALSE,"",_xlfn.IFERROR(INDEX('Tabela PW'!$AC:$AI,B115+1,7),""))</f>
        <v/>
      </c>
      <c r="AF115" s="191"/>
      <c r="AG115" s="188" t="str">
        <f>IF('Słownik PW'!$A$11=FALSE,"",_xlfn.IFERROR(INDEX('Tabela PW'!$AC:$AJ,B115+1,8),""))</f>
        <v/>
      </c>
      <c r="AH115" s="191"/>
      <c r="AI115" s="188" t="str">
        <f>IF('Słownik PW'!$A$11=FALSE,"",_xlfn.IFERROR(INDEX('Tabela PW'!$AC:$AK,B115+1,9),""))</f>
        <v/>
      </c>
      <c r="AJ115" s="191"/>
      <c r="AK115" s="188" t="str">
        <f>IF('Słownik PW'!$A$11=FALSE,"",_xlfn.IFERROR(INDEX('Tabela PW'!$AC:$AL,B115+1,10),""))</f>
        <v/>
      </c>
    </row>
    <row r="116" spans="2:37" s="182" customFormat="1" ht="22.5" customHeight="1">
      <c r="B116" s="184" t="str">
        <f t="shared" si="2"/>
        <v/>
      </c>
      <c r="D116" s="184" t="str">
        <f>_xlfn.IFERROR('Tabela PW'!Z87,"")</f>
        <v/>
      </c>
      <c r="E116" s="183"/>
      <c r="F116" s="186" t="str">
        <f>_xlfn.IFERROR('Tabela PW'!AA87,"")</f>
        <v/>
      </c>
      <c r="G116" s="184"/>
      <c r="H116" s="188" t="str">
        <f>_xlfn.IFERROR(INDEX('Tabela PW'!AC:AL,B116+1,'Słownik PW'!$A$26-2009),"")</f>
        <v/>
      </c>
      <c r="I116" s="188"/>
      <c r="J116" s="188" t="str">
        <f>_xlfn.IFERROR(IF('Słownik PW'!$A$26=2010,"",INDEX('Tabela PW'!AC:AL,B116+1,'Słownik PW'!$A$26-2010)),"")</f>
        <v/>
      </c>
      <c r="K116" s="187"/>
      <c r="L116" s="189" t="str">
        <f>_xlfn.IFERROR(IF('Słownik PW'!$A$26=2010,"",H116/J116*100),"")</f>
        <v/>
      </c>
      <c r="M116" s="187"/>
      <c r="N116" s="399"/>
      <c r="O116" s="399"/>
      <c r="P116" s="187"/>
      <c r="Q116" s="189" t="str">
        <f>_xlfn.IFERROR(INDEX('Tabela PW'!AP:AP,B116+1,1),"")</f>
        <v/>
      </c>
      <c r="R116" s="187"/>
      <c r="S116" s="188" t="str">
        <f>IF('Słownik PW'!$A$11=FALSE,"",_xlfn.IFERROR(INDEX('Tabela PW'!$AC:$AI,B116+1,1),""))</f>
        <v/>
      </c>
      <c r="T116" s="188"/>
      <c r="U116" s="188" t="str">
        <f>IF('Słownik PW'!$A$11=FALSE,"",_xlfn.IFERROR(INDEX('Tabela PW'!$AC:$AI,B116+1,2),""))</f>
        <v/>
      </c>
      <c r="V116" s="188"/>
      <c r="W116" s="188" t="str">
        <f>IF('Słownik PW'!$A$11=FALSE,"",_xlfn.IFERROR(INDEX('Tabela PW'!$AC:$AI,B116+1,3),""))</f>
        <v/>
      </c>
      <c r="X116" s="188"/>
      <c r="Y116" s="188" t="str">
        <f>IF('Słownik PW'!$A$11=FALSE,"",_xlfn.IFERROR(INDEX('Tabela PW'!$AC:$AI,B116+1,4),""))</f>
        <v/>
      </c>
      <c r="Z116" s="193"/>
      <c r="AA116" s="188" t="str">
        <f>IF('Słownik PW'!$A$11=FALSE,"",_xlfn.IFERROR(INDEX('Tabela PW'!$AC:$AI,B116+1,5),""))</f>
        <v/>
      </c>
      <c r="AB116" s="191"/>
      <c r="AC116" s="188" t="str">
        <f>IF('Słownik PW'!$A$11=FALSE,"",_xlfn.IFERROR(INDEX('Tabela PW'!$AC:$AI,B116+1,6),""))</f>
        <v/>
      </c>
      <c r="AD116" s="191"/>
      <c r="AE116" s="188" t="str">
        <f>IF('Słownik PW'!$A$11=FALSE,"",_xlfn.IFERROR(INDEX('Tabela PW'!$AC:$AI,B116+1,7),""))</f>
        <v/>
      </c>
      <c r="AF116" s="191"/>
      <c r="AG116" s="188" t="str">
        <f>IF('Słownik PW'!$A$11=FALSE,"",_xlfn.IFERROR(INDEX('Tabela PW'!$AC:$AJ,B116+1,8),""))</f>
        <v/>
      </c>
      <c r="AH116" s="191"/>
      <c r="AI116" s="188" t="str">
        <f>IF('Słownik PW'!$A$11=FALSE,"",_xlfn.IFERROR(INDEX('Tabela PW'!$AC:$AK,B116+1,9),""))</f>
        <v/>
      </c>
      <c r="AJ116" s="191"/>
      <c r="AK116" s="188" t="str">
        <f>IF('Słownik PW'!$A$11=FALSE,"",_xlfn.IFERROR(INDEX('Tabela PW'!$AC:$AL,B116+1,10),""))</f>
        <v/>
      </c>
    </row>
    <row r="117" spans="2:37" s="182" customFormat="1" ht="22.5" customHeight="1">
      <c r="B117" s="184" t="str">
        <f t="shared" si="2"/>
        <v/>
      </c>
      <c r="D117" s="184" t="str">
        <f>_xlfn.IFERROR('Tabela PW'!Z88,"")</f>
        <v/>
      </c>
      <c r="E117" s="183"/>
      <c r="F117" s="186" t="str">
        <f>_xlfn.IFERROR('Tabela PW'!AA88,"")</f>
        <v/>
      </c>
      <c r="G117" s="184"/>
      <c r="H117" s="188" t="str">
        <f>_xlfn.IFERROR(INDEX('Tabela PW'!AC:AL,B117+1,'Słownik PW'!$A$26-2009),"")</f>
        <v/>
      </c>
      <c r="I117" s="188"/>
      <c r="J117" s="188" t="str">
        <f>_xlfn.IFERROR(IF('Słownik PW'!$A$26=2010,"",INDEX('Tabela PW'!AC:AL,B117+1,'Słownik PW'!$A$26-2010)),"")</f>
        <v/>
      </c>
      <c r="K117" s="187"/>
      <c r="L117" s="189" t="str">
        <f>_xlfn.IFERROR(IF('Słownik PW'!$A$26=2010,"",H117/J117*100),"")</f>
        <v/>
      </c>
      <c r="M117" s="187"/>
      <c r="N117" s="399"/>
      <c r="O117" s="399"/>
      <c r="P117" s="187"/>
      <c r="Q117" s="189" t="str">
        <f>_xlfn.IFERROR(INDEX('Tabela PW'!AP:AP,B117+1,1),"")</f>
        <v/>
      </c>
      <c r="R117" s="187"/>
      <c r="S117" s="188" t="str">
        <f>IF('Słownik PW'!$A$11=FALSE,"",_xlfn.IFERROR(INDEX('Tabela PW'!$AC:$AI,B117+1,1),""))</f>
        <v/>
      </c>
      <c r="T117" s="188"/>
      <c r="U117" s="188" t="str">
        <f>IF('Słownik PW'!$A$11=FALSE,"",_xlfn.IFERROR(INDEX('Tabela PW'!$AC:$AI,B117+1,2),""))</f>
        <v/>
      </c>
      <c r="V117" s="188"/>
      <c r="W117" s="188" t="str">
        <f>IF('Słownik PW'!$A$11=FALSE,"",_xlfn.IFERROR(INDEX('Tabela PW'!$AC:$AI,B117+1,3),""))</f>
        <v/>
      </c>
      <c r="X117" s="188"/>
      <c r="Y117" s="188" t="str">
        <f>IF('Słownik PW'!$A$11=FALSE,"",_xlfn.IFERROR(INDEX('Tabela PW'!$AC:$AI,B117+1,4),""))</f>
        <v/>
      </c>
      <c r="Z117" s="193"/>
      <c r="AA117" s="188" t="str">
        <f>IF('Słownik PW'!$A$11=FALSE,"",_xlfn.IFERROR(INDEX('Tabela PW'!$AC:$AI,B117+1,5),""))</f>
        <v/>
      </c>
      <c r="AB117" s="191"/>
      <c r="AC117" s="188" t="str">
        <f>IF('Słownik PW'!$A$11=FALSE,"",_xlfn.IFERROR(INDEX('Tabela PW'!$AC:$AI,B117+1,6),""))</f>
        <v/>
      </c>
      <c r="AD117" s="191"/>
      <c r="AE117" s="188" t="str">
        <f>IF('Słownik PW'!$A$11=FALSE,"",_xlfn.IFERROR(INDEX('Tabela PW'!$AC:$AI,B117+1,7),""))</f>
        <v/>
      </c>
      <c r="AF117" s="191"/>
      <c r="AG117" s="188" t="str">
        <f>IF('Słownik PW'!$A$11=FALSE,"",_xlfn.IFERROR(INDEX('Tabela PW'!$AC:$AJ,B117+1,8),""))</f>
        <v/>
      </c>
      <c r="AH117" s="191"/>
      <c r="AI117" s="188" t="str">
        <f>IF('Słownik PW'!$A$11=FALSE,"",_xlfn.IFERROR(INDEX('Tabela PW'!$AC:$AK,B117+1,9),""))</f>
        <v/>
      </c>
      <c r="AJ117" s="191"/>
      <c r="AK117" s="188" t="str">
        <f>IF('Słownik PW'!$A$11=FALSE,"",_xlfn.IFERROR(INDEX('Tabela PW'!$AC:$AL,B117+1,10),""))</f>
        <v/>
      </c>
    </row>
    <row r="118" spans="2:37" s="182" customFormat="1" ht="22.5" customHeight="1">
      <c r="B118" s="184" t="str">
        <f t="shared" si="2"/>
        <v/>
      </c>
      <c r="D118" s="184" t="str">
        <f>_xlfn.IFERROR('Tabela PW'!Z89,"")</f>
        <v/>
      </c>
      <c r="E118" s="183"/>
      <c r="F118" s="186" t="str">
        <f>_xlfn.IFERROR('Tabela PW'!AA89,"")</f>
        <v/>
      </c>
      <c r="G118" s="184"/>
      <c r="H118" s="188" t="str">
        <f>_xlfn.IFERROR(INDEX('Tabela PW'!AC:AL,B118+1,'Słownik PW'!$A$26-2009),"")</f>
        <v/>
      </c>
      <c r="I118" s="188"/>
      <c r="J118" s="188" t="str">
        <f>_xlfn.IFERROR(IF('Słownik PW'!$A$26=2010,"",INDEX('Tabela PW'!AC:AL,B118+1,'Słownik PW'!$A$26-2010)),"")</f>
        <v/>
      </c>
      <c r="K118" s="187"/>
      <c r="L118" s="189" t="str">
        <f>_xlfn.IFERROR(IF('Słownik PW'!$A$26=2010,"",H118/J118*100),"")</f>
        <v/>
      </c>
      <c r="M118" s="187"/>
      <c r="N118" s="399"/>
      <c r="O118" s="399"/>
      <c r="P118" s="187"/>
      <c r="Q118" s="189" t="str">
        <f>_xlfn.IFERROR(INDEX('Tabela PW'!AP:AP,B118+1,1),"")</f>
        <v/>
      </c>
      <c r="R118" s="187"/>
      <c r="S118" s="188" t="str">
        <f>IF('Słownik PW'!$A$11=FALSE,"",_xlfn.IFERROR(INDEX('Tabela PW'!$AC:$AI,B118+1,1),""))</f>
        <v/>
      </c>
      <c r="T118" s="188"/>
      <c r="U118" s="188" t="str">
        <f>IF('Słownik PW'!$A$11=FALSE,"",_xlfn.IFERROR(INDEX('Tabela PW'!$AC:$AI,B118+1,2),""))</f>
        <v/>
      </c>
      <c r="V118" s="188"/>
      <c r="W118" s="188" t="str">
        <f>IF('Słownik PW'!$A$11=FALSE,"",_xlfn.IFERROR(INDEX('Tabela PW'!$AC:$AI,B118+1,3),""))</f>
        <v/>
      </c>
      <c r="X118" s="188"/>
      <c r="Y118" s="188" t="str">
        <f>IF('Słownik PW'!$A$11=FALSE,"",_xlfn.IFERROR(INDEX('Tabela PW'!$AC:$AI,B118+1,4),""))</f>
        <v/>
      </c>
      <c r="Z118" s="193"/>
      <c r="AA118" s="188" t="str">
        <f>IF('Słownik PW'!$A$11=FALSE,"",_xlfn.IFERROR(INDEX('Tabela PW'!$AC:$AI,B118+1,5),""))</f>
        <v/>
      </c>
      <c r="AB118" s="191"/>
      <c r="AC118" s="188" t="str">
        <f>IF('Słownik PW'!$A$11=FALSE,"",_xlfn.IFERROR(INDEX('Tabela PW'!$AC:$AI,B118+1,6),""))</f>
        <v/>
      </c>
      <c r="AD118" s="191"/>
      <c r="AE118" s="188" t="str">
        <f>IF('Słownik PW'!$A$11=FALSE,"",_xlfn.IFERROR(INDEX('Tabela PW'!$AC:$AI,B118+1,7),""))</f>
        <v/>
      </c>
      <c r="AF118" s="191"/>
      <c r="AG118" s="188" t="str">
        <f>IF('Słownik PW'!$A$11=FALSE,"",_xlfn.IFERROR(INDEX('Tabela PW'!$AC:$AJ,B118+1,8),""))</f>
        <v/>
      </c>
      <c r="AH118" s="191"/>
      <c r="AI118" s="188" t="str">
        <f>IF('Słownik PW'!$A$11=FALSE,"",_xlfn.IFERROR(INDEX('Tabela PW'!$AC:$AK,B118+1,9),""))</f>
        <v/>
      </c>
      <c r="AJ118" s="191"/>
      <c r="AK118" s="188" t="str">
        <f>IF('Słownik PW'!$A$11=FALSE,"",_xlfn.IFERROR(INDEX('Tabela PW'!$AC:$AL,B118+1,10),""))</f>
        <v/>
      </c>
    </row>
    <row r="119" spans="2:37" s="182" customFormat="1" ht="22.5" customHeight="1">
      <c r="B119" s="184" t="str">
        <f t="shared" si="2"/>
        <v/>
      </c>
      <c r="D119" s="184" t="str">
        <f>_xlfn.IFERROR('Tabela PW'!Z90,"")</f>
        <v/>
      </c>
      <c r="E119" s="183"/>
      <c r="F119" s="186" t="str">
        <f>_xlfn.IFERROR('Tabela PW'!AA90,"")</f>
        <v/>
      </c>
      <c r="G119" s="184"/>
      <c r="H119" s="188" t="str">
        <f>_xlfn.IFERROR(INDEX('Tabela PW'!AC:AL,B119+1,'Słownik PW'!$A$26-2009),"")</f>
        <v/>
      </c>
      <c r="I119" s="188"/>
      <c r="J119" s="188" t="str">
        <f>_xlfn.IFERROR(IF('Słownik PW'!$A$26=2010,"",INDEX('Tabela PW'!AC:AL,B119+1,'Słownik PW'!$A$26-2010)),"")</f>
        <v/>
      </c>
      <c r="K119" s="187"/>
      <c r="L119" s="189" t="str">
        <f>_xlfn.IFERROR(IF('Słownik PW'!$A$26=2010,"",H119/J119*100),"")</f>
        <v/>
      </c>
      <c r="M119" s="187"/>
      <c r="N119" s="399"/>
      <c r="O119" s="399"/>
      <c r="P119" s="187"/>
      <c r="Q119" s="189" t="str">
        <f>_xlfn.IFERROR(INDEX('Tabela PW'!AP:AP,B119+1,1),"")</f>
        <v/>
      </c>
      <c r="R119" s="187"/>
      <c r="S119" s="188" t="str">
        <f>IF('Słownik PW'!$A$11=FALSE,"",_xlfn.IFERROR(INDEX('Tabela PW'!$AC:$AI,B119+1,1),""))</f>
        <v/>
      </c>
      <c r="T119" s="188"/>
      <c r="U119" s="188" t="str">
        <f>IF('Słownik PW'!$A$11=FALSE,"",_xlfn.IFERROR(INDEX('Tabela PW'!$AC:$AI,B119+1,2),""))</f>
        <v/>
      </c>
      <c r="V119" s="188"/>
      <c r="W119" s="188" t="str">
        <f>IF('Słownik PW'!$A$11=FALSE,"",_xlfn.IFERROR(INDEX('Tabela PW'!$AC:$AI,B119+1,3),""))</f>
        <v/>
      </c>
      <c r="X119" s="188"/>
      <c r="Y119" s="188" t="str">
        <f>IF('Słownik PW'!$A$11=FALSE,"",_xlfn.IFERROR(INDEX('Tabela PW'!$AC:$AI,B119+1,4),""))</f>
        <v/>
      </c>
      <c r="Z119" s="193"/>
      <c r="AA119" s="188" t="str">
        <f>IF('Słownik PW'!$A$11=FALSE,"",_xlfn.IFERROR(INDEX('Tabela PW'!$AC:$AI,B119+1,5),""))</f>
        <v/>
      </c>
      <c r="AB119" s="191"/>
      <c r="AC119" s="188" t="str">
        <f>IF('Słownik PW'!$A$11=FALSE,"",_xlfn.IFERROR(INDEX('Tabela PW'!$AC:$AI,B119+1,6),""))</f>
        <v/>
      </c>
      <c r="AD119" s="191"/>
      <c r="AE119" s="188" t="str">
        <f>IF('Słownik PW'!$A$11=FALSE,"",_xlfn.IFERROR(INDEX('Tabela PW'!$AC:$AI,B119+1,7),""))</f>
        <v/>
      </c>
      <c r="AF119" s="191"/>
      <c r="AG119" s="188" t="str">
        <f>IF('Słownik PW'!$A$11=FALSE,"",_xlfn.IFERROR(INDEX('Tabela PW'!$AC:$AJ,B119+1,8),""))</f>
        <v/>
      </c>
      <c r="AH119" s="191"/>
      <c r="AI119" s="188" t="str">
        <f>IF('Słownik PW'!$A$11=FALSE,"",_xlfn.IFERROR(INDEX('Tabela PW'!$AC:$AK,B119+1,9),""))</f>
        <v/>
      </c>
      <c r="AJ119" s="191"/>
      <c r="AK119" s="188" t="str">
        <f>IF('Słownik PW'!$A$11=FALSE,"",_xlfn.IFERROR(INDEX('Tabela PW'!$AC:$AL,B119+1,10),""))</f>
        <v/>
      </c>
    </row>
    <row r="120" spans="2:37" s="182" customFormat="1" ht="22.5" customHeight="1">
      <c r="B120" s="184" t="str">
        <f t="shared" si="2"/>
        <v/>
      </c>
      <c r="D120" s="184" t="str">
        <f>_xlfn.IFERROR('Tabela PW'!Z91,"")</f>
        <v/>
      </c>
      <c r="E120" s="183"/>
      <c r="F120" s="186" t="str">
        <f>_xlfn.IFERROR('Tabela PW'!AA91,"")</f>
        <v/>
      </c>
      <c r="G120" s="184"/>
      <c r="H120" s="188" t="str">
        <f>_xlfn.IFERROR(INDEX('Tabela PW'!AC:AL,B120+1,'Słownik PW'!$A$26-2009),"")</f>
        <v/>
      </c>
      <c r="I120" s="188"/>
      <c r="J120" s="188" t="str">
        <f>_xlfn.IFERROR(IF('Słownik PW'!$A$26=2010,"",INDEX('Tabela PW'!AC:AL,B120+1,'Słownik PW'!$A$26-2010)),"")</f>
        <v/>
      </c>
      <c r="K120" s="187"/>
      <c r="L120" s="189" t="str">
        <f>_xlfn.IFERROR(IF('Słownik PW'!$A$26=2010,"",H120/J120*100),"")</f>
        <v/>
      </c>
      <c r="M120" s="187"/>
      <c r="N120" s="399"/>
      <c r="O120" s="399"/>
      <c r="P120" s="187"/>
      <c r="Q120" s="189" t="str">
        <f>_xlfn.IFERROR(INDEX('Tabela PW'!AP:AP,B120+1,1),"")</f>
        <v/>
      </c>
      <c r="R120" s="187"/>
      <c r="S120" s="188" t="str">
        <f>IF('Słownik PW'!$A$11=FALSE,"",_xlfn.IFERROR(INDEX('Tabela PW'!$AC:$AI,B120+1,1),""))</f>
        <v/>
      </c>
      <c r="T120" s="188"/>
      <c r="U120" s="188" t="str">
        <f>IF('Słownik PW'!$A$11=FALSE,"",_xlfn.IFERROR(INDEX('Tabela PW'!$AC:$AI,B120+1,2),""))</f>
        <v/>
      </c>
      <c r="V120" s="188"/>
      <c r="W120" s="188" t="str">
        <f>IF('Słownik PW'!$A$11=FALSE,"",_xlfn.IFERROR(INDEX('Tabela PW'!$AC:$AI,B120+1,3),""))</f>
        <v/>
      </c>
      <c r="X120" s="188"/>
      <c r="Y120" s="188" t="str">
        <f>IF('Słownik PW'!$A$11=FALSE,"",_xlfn.IFERROR(INDEX('Tabela PW'!$AC:$AI,B120+1,4),""))</f>
        <v/>
      </c>
      <c r="Z120" s="193"/>
      <c r="AA120" s="188" t="str">
        <f>IF('Słownik PW'!$A$11=FALSE,"",_xlfn.IFERROR(INDEX('Tabela PW'!$AC:$AI,B120+1,5),""))</f>
        <v/>
      </c>
      <c r="AB120" s="191"/>
      <c r="AC120" s="188" t="str">
        <f>IF('Słownik PW'!$A$11=FALSE,"",_xlfn.IFERROR(INDEX('Tabela PW'!$AC:$AI,B120+1,6),""))</f>
        <v/>
      </c>
      <c r="AD120" s="191"/>
      <c r="AE120" s="188" t="str">
        <f>IF('Słownik PW'!$A$11=FALSE,"",_xlfn.IFERROR(INDEX('Tabela PW'!$AC:$AI,B120+1,7),""))</f>
        <v/>
      </c>
      <c r="AF120" s="191"/>
      <c r="AG120" s="188" t="str">
        <f>IF('Słownik PW'!$A$11=FALSE,"",_xlfn.IFERROR(INDEX('Tabela PW'!$AC:$AJ,B120+1,8),""))</f>
        <v/>
      </c>
      <c r="AH120" s="191"/>
      <c r="AI120" s="188" t="str">
        <f>IF('Słownik PW'!$A$11=FALSE,"",_xlfn.IFERROR(INDEX('Tabela PW'!$AC:$AK,B120+1,9),""))</f>
        <v/>
      </c>
      <c r="AJ120" s="191"/>
      <c r="AK120" s="188" t="str">
        <f>IF('Słownik PW'!$A$11=FALSE,"",_xlfn.IFERROR(INDEX('Tabela PW'!$AC:$AL,B120+1,10),""))</f>
        <v/>
      </c>
    </row>
    <row r="121" spans="2:37" s="182" customFormat="1" ht="22.5" customHeight="1">
      <c r="B121" s="184" t="str">
        <f t="shared" si="2"/>
        <v/>
      </c>
      <c r="D121" s="184" t="str">
        <f>_xlfn.IFERROR('Tabela PW'!Z92,"")</f>
        <v/>
      </c>
      <c r="E121" s="183"/>
      <c r="F121" s="186" t="str">
        <f>_xlfn.IFERROR('Tabela PW'!AA92,"")</f>
        <v/>
      </c>
      <c r="G121" s="184"/>
      <c r="H121" s="188" t="str">
        <f>_xlfn.IFERROR(INDEX('Tabela PW'!AC:AL,B121+1,'Słownik PW'!$A$26-2009),"")</f>
        <v/>
      </c>
      <c r="I121" s="188"/>
      <c r="J121" s="188" t="str">
        <f>_xlfn.IFERROR(IF('Słownik PW'!$A$26=2010,"",INDEX('Tabela PW'!AC:AL,B121+1,'Słownik PW'!$A$26-2010)),"")</f>
        <v/>
      </c>
      <c r="K121" s="187"/>
      <c r="L121" s="189" t="str">
        <f>_xlfn.IFERROR(IF('Słownik PW'!$A$26=2010,"",H121/J121*100),"")</f>
        <v/>
      </c>
      <c r="M121" s="187"/>
      <c r="N121" s="399"/>
      <c r="O121" s="399"/>
      <c r="P121" s="187"/>
      <c r="Q121" s="189" t="str">
        <f>_xlfn.IFERROR(INDEX('Tabela PW'!AP:AP,B121+1,1),"")</f>
        <v/>
      </c>
      <c r="R121" s="187"/>
      <c r="S121" s="188" t="str">
        <f>IF('Słownik PW'!$A$11=FALSE,"",_xlfn.IFERROR(INDEX('Tabela PW'!$AC:$AI,B121+1,1),""))</f>
        <v/>
      </c>
      <c r="T121" s="188"/>
      <c r="U121" s="188" t="str">
        <f>IF('Słownik PW'!$A$11=FALSE,"",_xlfn.IFERROR(INDEX('Tabela PW'!$AC:$AI,B121+1,2),""))</f>
        <v/>
      </c>
      <c r="V121" s="188"/>
      <c r="W121" s="188" t="str">
        <f>IF('Słownik PW'!$A$11=FALSE,"",_xlfn.IFERROR(INDEX('Tabela PW'!$AC:$AI,B121+1,3),""))</f>
        <v/>
      </c>
      <c r="X121" s="188"/>
      <c r="Y121" s="188" t="str">
        <f>IF('Słownik PW'!$A$11=FALSE,"",_xlfn.IFERROR(INDEX('Tabela PW'!$AC:$AI,B121+1,4),""))</f>
        <v/>
      </c>
      <c r="Z121" s="193"/>
      <c r="AA121" s="188" t="str">
        <f>IF('Słownik PW'!$A$11=FALSE,"",_xlfn.IFERROR(INDEX('Tabela PW'!$AC:$AI,B121+1,5),""))</f>
        <v/>
      </c>
      <c r="AB121" s="191"/>
      <c r="AC121" s="188" t="str">
        <f>IF('Słownik PW'!$A$11=FALSE,"",_xlfn.IFERROR(INDEX('Tabela PW'!$AC:$AI,B121+1,6),""))</f>
        <v/>
      </c>
      <c r="AD121" s="191"/>
      <c r="AE121" s="188" t="str">
        <f>IF('Słownik PW'!$A$11=FALSE,"",_xlfn.IFERROR(INDEX('Tabela PW'!$AC:$AI,B121+1,7),""))</f>
        <v/>
      </c>
      <c r="AF121" s="191"/>
      <c r="AG121" s="188" t="str">
        <f>IF('Słownik PW'!$A$11=FALSE,"",_xlfn.IFERROR(INDEX('Tabela PW'!$AC:$AJ,B121+1,8),""))</f>
        <v/>
      </c>
      <c r="AH121" s="191"/>
      <c r="AI121" s="188" t="str">
        <f>IF('Słownik PW'!$A$11=FALSE,"",_xlfn.IFERROR(INDEX('Tabela PW'!$AC:$AK,B121+1,9),""))</f>
        <v/>
      </c>
      <c r="AJ121" s="191"/>
      <c r="AK121" s="188" t="str">
        <f>IF('Słownik PW'!$A$11=FALSE,"",_xlfn.IFERROR(INDEX('Tabela PW'!$AC:$AL,B121+1,10),""))</f>
        <v/>
      </c>
    </row>
    <row r="122" spans="2:37" s="182" customFormat="1" ht="22.5" customHeight="1">
      <c r="B122" s="184" t="str">
        <f t="shared" si="2"/>
        <v/>
      </c>
      <c r="D122" s="184" t="str">
        <f>_xlfn.IFERROR('Tabela PW'!Z93,"")</f>
        <v/>
      </c>
      <c r="E122" s="183"/>
      <c r="F122" s="186" t="str">
        <f>_xlfn.IFERROR('Tabela PW'!AA93,"")</f>
        <v/>
      </c>
      <c r="G122" s="184"/>
      <c r="H122" s="188" t="str">
        <f>_xlfn.IFERROR(INDEX('Tabela PW'!AC:AL,B122+1,'Słownik PW'!$A$26-2009),"")</f>
        <v/>
      </c>
      <c r="I122" s="188"/>
      <c r="J122" s="188" t="str">
        <f>_xlfn.IFERROR(IF('Słownik PW'!$A$26=2010,"",INDEX('Tabela PW'!AC:AL,B122+1,'Słownik PW'!$A$26-2010)),"")</f>
        <v/>
      </c>
      <c r="K122" s="187"/>
      <c r="L122" s="189" t="str">
        <f>_xlfn.IFERROR(IF('Słownik PW'!$A$26=2010,"",H122/J122*100),"")</f>
        <v/>
      </c>
      <c r="M122" s="187"/>
      <c r="N122" s="399"/>
      <c r="O122" s="399"/>
      <c r="P122" s="187"/>
      <c r="Q122" s="189" t="str">
        <f>_xlfn.IFERROR(INDEX('Tabela PW'!AP:AP,B122+1,1),"")</f>
        <v/>
      </c>
      <c r="R122" s="187"/>
      <c r="S122" s="188" t="str">
        <f>IF('Słownik PW'!$A$11=FALSE,"",_xlfn.IFERROR(INDEX('Tabela PW'!$AC:$AI,B122+1,1),""))</f>
        <v/>
      </c>
      <c r="T122" s="188"/>
      <c r="U122" s="188" t="str">
        <f>IF('Słownik PW'!$A$11=FALSE,"",_xlfn.IFERROR(INDEX('Tabela PW'!$AC:$AI,B122+1,2),""))</f>
        <v/>
      </c>
      <c r="V122" s="188"/>
      <c r="W122" s="188" t="str">
        <f>IF('Słownik PW'!$A$11=FALSE,"",_xlfn.IFERROR(INDEX('Tabela PW'!$AC:$AI,B122+1,3),""))</f>
        <v/>
      </c>
      <c r="X122" s="188"/>
      <c r="Y122" s="188" t="str">
        <f>IF('Słownik PW'!$A$11=FALSE,"",_xlfn.IFERROR(INDEX('Tabela PW'!$AC:$AI,B122+1,4),""))</f>
        <v/>
      </c>
      <c r="Z122" s="193"/>
      <c r="AA122" s="188" t="str">
        <f>IF('Słownik PW'!$A$11=FALSE,"",_xlfn.IFERROR(INDEX('Tabela PW'!$AC:$AI,B122+1,5),""))</f>
        <v/>
      </c>
      <c r="AB122" s="191"/>
      <c r="AC122" s="188" t="str">
        <f>IF('Słownik PW'!$A$11=FALSE,"",_xlfn.IFERROR(INDEX('Tabela PW'!$AC:$AI,B122+1,6),""))</f>
        <v/>
      </c>
      <c r="AD122" s="191"/>
      <c r="AE122" s="188" t="str">
        <f>IF('Słownik PW'!$A$11=FALSE,"",_xlfn.IFERROR(INDEX('Tabela PW'!$AC:$AI,B122+1,7),""))</f>
        <v/>
      </c>
      <c r="AF122" s="191"/>
      <c r="AG122" s="188" t="str">
        <f>IF('Słownik PW'!$A$11=FALSE,"",_xlfn.IFERROR(INDEX('Tabela PW'!$AC:$AJ,B122+1,8),""))</f>
        <v/>
      </c>
      <c r="AH122" s="191"/>
      <c r="AI122" s="188" t="str">
        <f>IF('Słownik PW'!$A$11=FALSE,"",_xlfn.IFERROR(INDEX('Tabela PW'!$AC:$AK,B122+1,9),""))</f>
        <v/>
      </c>
      <c r="AJ122" s="191"/>
      <c r="AK122" s="188" t="str">
        <f>IF('Słownik PW'!$A$11=FALSE,"",_xlfn.IFERROR(INDEX('Tabela PW'!$AC:$AL,B122+1,10),""))</f>
        <v/>
      </c>
    </row>
    <row r="123" spans="2:37" s="182" customFormat="1" ht="22.5" customHeight="1">
      <c r="B123" s="184" t="str">
        <f t="shared" si="2"/>
        <v/>
      </c>
      <c r="D123" s="184" t="str">
        <f>_xlfn.IFERROR('Tabela PW'!Z94,"")</f>
        <v/>
      </c>
      <c r="E123" s="183"/>
      <c r="F123" s="186" t="str">
        <f>_xlfn.IFERROR('Tabela PW'!AA94,"")</f>
        <v/>
      </c>
      <c r="G123" s="184"/>
      <c r="H123" s="188" t="str">
        <f>_xlfn.IFERROR(INDEX('Tabela PW'!AC:AL,B123+1,'Słownik PW'!$A$26-2009),"")</f>
        <v/>
      </c>
      <c r="I123" s="188"/>
      <c r="J123" s="188" t="str">
        <f>_xlfn.IFERROR(IF('Słownik PW'!$A$26=2010,"",INDEX('Tabela PW'!AC:AL,B123+1,'Słownik PW'!$A$26-2010)),"")</f>
        <v/>
      </c>
      <c r="K123" s="187"/>
      <c r="L123" s="189" t="str">
        <f>_xlfn.IFERROR(IF('Słownik PW'!$A$26=2010,"",H123/J123*100),"")</f>
        <v/>
      </c>
      <c r="M123" s="187"/>
      <c r="N123" s="399"/>
      <c r="O123" s="399"/>
      <c r="P123" s="187"/>
      <c r="Q123" s="189" t="str">
        <f>_xlfn.IFERROR(INDEX('Tabela PW'!AP:AP,B123+1,1),"")</f>
        <v/>
      </c>
      <c r="R123" s="187"/>
      <c r="S123" s="188" t="str">
        <f>IF('Słownik PW'!$A$11=FALSE,"",_xlfn.IFERROR(INDEX('Tabela PW'!$AC:$AI,B123+1,1),""))</f>
        <v/>
      </c>
      <c r="T123" s="188"/>
      <c r="U123" s="188" t="str">
        <f>IF('Słownik PW'!$A$11=FALSE,"",_xlfn.IFERROR(INDEX('Tabela PW'!$AC:$AI,B123+1,2),""))</f>
        <v/>
      </c>
      <c r="V123" s="188"/>
      <c r="W123" s="188" t="str">
        <f>IF('Słownik PW'!$A$11=FALSE,"",_xlfn.IFERROR(INDEX('Tabela PW'!$AC:$AI,B123+1,3),""))</f>
        <v/>
      </c>
      <c r="X123" s="188"/>
      <c r="Y123" s="188" t="str">
        <f>IF('Słownik PW'!$A$11=FALSE,"",_xlfn.IFERROR(INDEX('Tabela PW'!$AC:$AI,B123+1,4),""))</f>
        <v/>
      </c>
      <c r="Z123" s="193"/>
      <c r="AA123" s="188" t="str">
        <f>IF('Słownik PW'!$A$11=FALSE,"",_xlfn.IFERROR(INDEX('Tabela PW'!$AC:$AI,B123+1,5),""))</f>
        <v/>
      </c>
      <c r="AB123" s="191"/>
      <c r="AC123" s="188" t="str">
        <f>IF('Słownik PW'!$A$11=FALSE,"",_xlfn.IFERROR(INDEX('Tabela PW'!$AC:$AI,B123+1,6),""))</f>
        <v/>
      </c>
      <c r="AD123" s="191"/>
      <c r="AE123" s="188" t="str">
        <f>IF('Słownik PW'!$A$11=FALSE,"",_xlfn.IFERROR(INDEX('Tabela PW'!$AC:$AI,B123+1,7),""))</f>
        <v/>
      </c>
      <c r="AF123" s="191"/>
      <c r="AG123" s="188" t="str">
        <f>IF('Słownik PW'!$A$11=FALSE,"",_xlfn.IFERROR(INDEX('Tabela PW'!$AC:$AJ,B123+1,8),""))</f>
        <v/>
      </c>
      <c r="AH123" s="191"/>
      <c r="AI123" s="188" t="str">
        <f>IF('Słownik PW'!$A$11=FALSE,"",_xlfn.IFERROR(INDEX('Tabela PW'!$AC:$AK,B123+1,9),""))</f>
        <v/>
      </c>
      <c r="AJ123" s="191"/>
      <c r="AK123" s="188" t="str">
        <f>IF('Słownik PW'!$A$11=FALSE,"",_xlfn.IFERROR(INDEX('Tabela PW'!$AC:$AL,B123+1,10),""))</f>
        <v/>
      </c>
    </row>
    <row r="124" spans="2:37" s="182" customFormat="1" ht="22.5" customHeight="1">
      <c r="B124" s="184" t="str">
        <f t="shared" si="2"/>
        <v/>
      </c>
      <c r="D124" s="184" t="str">
        <f>_xlfn.IFERROR('Tabela PW'!Z95,"")</f>
        <v/>
      </c>
      <c r="E124" s="183"/>
      <c r="F124" s="186" t="str">
        <f>_xlfn.IFERROR('Tabela PW'!AA95,"")</f>
        <v/>
      </c>
      <c r="G124" s="184"/>
      <c r="H124" s="188" t="str">
        <f>_xlfn.IFERROR(INDEX('Tabela PW'!AC:AL,B124+1,'Słownik PW'!$A$26-2009),"")</f>
        <v/>
      </c>
      <c r="I124" s="188"/>
      <c r="J124" s="188" t="str">
        <f>_xlfn.IFERROR(IF('Słownik PW'!$A$26=2010,"",INDEX('Tabela PW'!AC:AL,B124+1,'Słownik PW'!$A$26-2010)),"")</f>
        <v/>
      </c>
      <c r="K124" s="187"/>
      <c r="L124" s="189" t="str">
        <f>_xlfn.IFERROR(IF('Słownik PW'!$A$26=2010,"",H124/J124*100),"")</f>
        <v/>
      </c>
      <c r="M124" s="187"/>
      <c r="N124" s="399"/>
      <c r="O124" s="399"/>
      <c r="P124" s="187"/>
      <c r="Q124" s="189" t="str">
        <f>_xlfn.IFERROR(INDEX('Tabela PW'!AP:AP,B124+1,1),"")</f>
        <v/>
      </c>
      <c r="R124" s="187"/>
      <c r="S124" s="188" t="str">
        <f>IF('Słownik PW'!$A$11=FALSE,"",_xlfn.IFERROR(INDEX('Tabela PW'!$AC:$AI,B124+1,1),""))</f>
        <v/>
      </c>
      <c r="T124" s="188"/>
      <c r="U124" s="188" t="str">
        <f>IF('Słownik PW'!$A$11=FALSE,"",_xlfn.IFERROR(INDEX('Tabela PW'!$AC:$AI,B124+1,2),""))</f>
        <v/>
      </c>
      <c r="V124" s="188"/>
      <c r="W124" s="188" t="str">
        <f>IF('Słownik PW'!$A$11=FALSE,"",_xlfn.IFERROR(INDEX('Tabela PW'!$AC:$AI,B124+1,3),""))</f>
        <v/>
      </c>
      <c r="X124" s="188"/>
      <c r="Y124" s="188" t="str">
        <f>IF('Słownik PW'!$A$11=FALSE,"",_xlfn.IFERROR(INDEX('Tabela PW'!$AC:$AI,B124+1,4),""))</f>
        <v/>
      </c>
      <c r="Z124" s="193"/>
      <c r="AA124" s="188" t="str">
        <f>IF('Słownik PW'!$A$11=FALSE,"",_xlfn.IFERROR(INDEX('Tabela PW'!$AC:$AI,B124+1,5),""))</f>
        <v/>
      </c>
      <c r="AB124" s="191"/>
      <c r="AC124" s="188" t="str">
        <f>IF('Słownik PW'!$A$11=FALSE,"",_xlfn.IFERROR(INDEX('Tabela PW'!$AC:$AI,B124+1,6),""))</f>
        <v/>
      </c>
      <c r="AD124" s="191"/>
      <c r="AE124" s="188" t="str">
        <f>IF('Słownik PW'!$A$11=FALSE,"",_xlfn.IFERROR(INDEX('Tabela PW'!$AC:$AI,B124+1,7),""))</f>
        <v/>
      </c>
      <c r="AF124" s="191"/>
      <c r="AG124" s="188" t="str">
        <f>IF('Słownik PW'!$A$11=FALSE,"",_xlfn.IFERROR(INDEX('Tabela PW'!$AC:$AJ,B124+1,8),""))</f>
        <v/>
      </c>
      <c r="AH124" s="191"/>
      <c r="AI124" s="188" t="str">
        <f>IF('Słownik PW'!$A$11=FALSE,"",_xlfn.IFERROR(INDEX('Tabela PW'!$AC:$AK,B124+1,9),""))</f>
        <v/>
      </c>
      <c r="AJ124" s="191"/>
      <c r="AK124" s="188" t="str">
        <f>IF('Słownik PW'!$A$11=FALSE,"",_xlfn.IFERROR(INDEX('Tabela PW'!$AC:$AL,B124+1,10),""))</f>
        <v/>
      </c>
    </row>
    <row r="125" spans="2:37" s="182" customFormat="1" ht="22.5" customHeight="1">
      <c r="B125" s="184" t="str">
        <f t="shared" si="2"/>
        <v/>
      </c>
      <c r="D125" s="184" t="str">
        <f>_xlfn.IFERROR('Tabela PW'!Z96,"")</f>
        <v/>
      </c>
      <c r="E125" s="183"/>
      <c r="F125" s="186" t="str">
        <f>_xlfn.IFERROR('Tabela PW'!AA96,"")</f>
        <v/>
      </c>
      <c r="G125" s="184"/>
      <c r="H125" s="188" t="str">
        <f>_xlfn.IFERROR(INDEX('Tabela PW'!AC:AL,B125+1,'Słownik PW'!$A$26-2009),"")</f>
        <v/>
      </c>
      <c r="I125" s="188"/>
      <c r="J125" s="188" t="str">
        <f>_xlfn.IFERROR(IF('Słownik PW'!$A$26=2010,"",INDEX('Tabela PW'!AC:AL,B125+1,'Słownik PW'!$A$26-2010)),"")</f>
        <v/>
      </c>
      <c r="K125" s="187"/>
      <c r="L125" s="189" t="str">
        <f>_xlfn.IFERROR(IF('Słownik PW'!$A$26=2010,"",H125/J125*100),"")</f>
        <v/>
      </c>
      <c r="M125" s="187"/>
      <c r="N125" s="399"/>
      <c r="O125" s="399"/>
      <c r="P125" s="187"/>
      <c r="Q125" s="189" t="str">
        <f>_xlfn.IFERROR(INDEX('Tabela PW'!AP:AP,B125+1,1),"")</f>
        <v/>
      </c>
      <c r="R125" s="187"/>
      <c r="S125" s="188" t="str">
        <f>IF('Słownik PW'!$A$11=FALSE,"",_xlfn.IFERROR(INDEX('Tabela PW'!$AC:$AI,B125+1,1),""))</f>
        <v/>
      </c>
      <c r="T125" s="188"/>
      <c r="U125" s="188" t="str">
        <f>IF('Słownik PW'!$A$11=FALSE,"",_xlfn.IFERROR(INDEX('Tabela PW'!$AC:$AI,B125+1,2),""))</f>
        <v/>
      </c>
      <c r="V125" s="188"/>
      <c r="W125" s="188" t="str">
        <f>IF('Słownik PW'!$A$11=FALSE,"",_xlfn.IFERROR(INDEX('Tabela PW'!$AC:$AI,B125+1,3),""))</f>
        <v/>
      </c>
      <c r="X125" s="188"/>
      <c r="Y125" s="188" t="str">
        <f>IF('Słownik PW'!$A$11=FALSE,"",_xlfn.IFERROR(INDEX('Tabela PW'!$AC:$AI,B125+1,4),""))</f>
        <v/>
      </c>
      <c r="Z125" s="193"/>
      <c r="AA125" s="188" t="str">
        <f>IF('Słownik PW'!$A$11=FALSE,"",_xlfn.IFERROR(INDEX('Tabela PW'!$AC:$AI,B125+1,5),""))</f>
        <v/>
      </c>
      <c r="AB125" s="191"/>
      <c r="AC125" s="188" t="str">
        <f>IF('Słownik PW'!$A$11=FALSE,"",_xlfn.IFERROR(INDEX('Tabela PW'!$AC:$AI,B125+1,6),""))</f>
        <v/>
      </c>
      <c r="AD125" s="191"/>
      <c r="AE125" s="188" t="str">
        <f>IF('Słownik PW'!$A$11=FALSE,"",_xlfn.IFERROR(INDEX('Tabela PW'!$AC:$AI,B125+1,7),""))</f>
        <v/>
      </c>
      <c r="AF125" s="191"/>
      <c r="AG125" s="188" t="str">
        <f>IF('Słownik PW'!$A$11=FALSE,"",_xlfn.IFERROR(INDEX('Tabela PW'!$AC:$AJ,B125+1,8),""))</f>
        <v/>
      </c>
      <c r="AH125" s="191"/>
      <c r="AI125" s="188" t="str">
        <f>IF('Słownik PW'!$A$11=FALSE,"",_xlfn.IFERROR(INDEX('Tabela PW'!$AC:$AK,B125+1,9),""))</f>
        <v/>
      </c>
      <c r="AJ125" s="191"/>
      <c r="AK125" s="188" t="str">
        <f>IF('Słownik PW'!$A$11=FALSE,"",_xlfn.IFERROR(INDEX('Tabela PW'!$AC:$AL,B125+1,10),""))</f>
        <v/>
      </c>
    </row>
    <row r="126" spans="2:37" s="182" customFormat="1" ht="22.5" customHeight="1">
      <c r="B126" s="184" t="str">
        <f t="shared" si="2"/>
        <v/>
      </c>
      <c r="D126" s="184" t="str">
        <f>_xlfn.IFERROR('Tabela PW'!Z97,"")</f>
        <v/>
      </c>
      <c r="E126" s="183"/>
      <c r="F126" s="186" t="str">
        <f>_xlfn.IFERROR('Tabela PW'!AA97,"")</f>
        <v/>
      </c>
      <c r="G126" s="184"/>
      <c r="H126" s="188" t="str">
        <f>_xlfn.IFERROR(INDEX('Tabela PW'!AC:AL,B126+1,'Słownik PW'!$A$26-2009),"")</f>
        <v/>
      </c>
      <c r="I126" s="188"/>
      <c r="J126" s="188" t="str">
        <f>_xlfn.IFERROR(IF('Słownik PW'!$A$26=2010,"",INDEX('Tabela PW'!AC:AL,B126+1,'Słownik PW'!$A$26-2010)),"")</f>
        <v/>
      </c>
      <c r="K126" s="187"/>
      <c r="L126" s="189" t="str">
        <f>_xlfn.IFERROR(IF('Słownik PW'!$A$26=2010,"",H126/J126*100),"")</f>
        <v/>
      </c>
      <c r="M126" s="187"/>
      <c r="N126" s="399"/>
      <c r="O126" s="399"/>
      <c r="P126" s="187"/>
      <c r="Q126" s="189" t="str">
        <f>_xlfn.IFERROR(INDEX('Tabela PW'!AP:AP,B126+1,1),"")</f>
        <v/>
      </c>
      <c r="R126" s="187"/>
      <c r="S126" s="188" t="str">
        <f>IF('Słownik PW'!$A$11=FALSE,"",_xlfn.IFERROR(INDEX('Tabela PW'!$AC:$AI,B126+1,1),""))</f>
        <v/>
      </c>
      <c r="T126" s="188"/>
      <c r="U126" s="188" t="str">
        <f>IF('Słownik PW'!$A$11=FALSE,"",_xlfn.IFERROR(INDEX('Tabela PW'!$AC:$AI,B126+1,2),""))</f>
        <v/>
      </c>
      <c r="V126" s="188"/>
      <c r="W126" s="188" t="str">
        <f>IF('Słownik PW'!$A$11=FALSE,"",_xlfn.IFERROR(INDEX('Tabela PW'!$AC:$AI,B126+1,3),""))</f>
        <v/>
      </c>
      <c r="X126" s="188"/>
      <c r="Y126" s="188" t="str">
        <f>IF('Słownik PW'!$A$11=FALSE,"",_xlfn.IFERROR(INDEX('Tabela PW'!$AC:$AI,B126+1,4),""))</f>
        <v/>
      </c>
      <c r="Z126" s="193"/>
      <c r="AA126" s="188" t="str">
        <f>IF('Słownik PW'!$A$11=FALSE,"",_xlfn.IFERROR(INDEX('Tabela PW'!$AC:$AI,B126+1,5),""))</f>
        <v/>
      </c>
      <c r="AB126" s="191"/>
      <c r="AC126" s="188" t="str">
        <f>IF('Słownik PW'!$A$11=FALSE,"",_xlfn.IFERROR(INDEX('Tabela PW'!$AC:$AI,B126+1,6),""))</f>
        <v/>
      </c>
      <c r="AD126" s="191"/>
      <c r="AE126" s="188" t="str">
        <f>IF('Słownik PW'!$A$11=FALSE,"",_xlfn.IFERROR(INDEX('Tabela PW'!$AC:$AI,B126+1,7),""))</f>
        <v/>
      </c>
      <c r="AF126" s="191"/>
      <c r="AG126" s="188" t="str">
        <f>IF('Słownik PW'!$A$11=FALSE,"",_xlfn.IFERROR(INDEX('Tabela PW'!$AC:$AJ,B126+1,8),""))</f>
        <v/>
      </c>
      <c r="AH126" s="191"/>
      <c r="AI126" s="188" t="str">
        <f>IF('Słownik PW'!$A$11=FALSE,"",_xlfn.IFERROR(INDEX('Tabela PW'!$AC:$AK,B126+1,9),""))</f>
        <v/>
      </c>
      <c r="AJ126" s="191"/>
      <c r="AK126" s="188" t="str">
        <f>IF('Słownik PW'!$A$11=FALSE,"",_xlfn.IFERROR(INDEX('Tabela PW'!$AC:$AL,B126+1,10),""))</f>
        <v/>
      </c>
    </row>
    <row r="127" spans="2:37" s="182" customFormat="1" ht="22.5" customHeight="1">
      <c r="B127" s="184" t="str">
        <f t="shared" si="2"/>
        <v/>
      </c>
      <c r="D127" s="184" t="str">
        <f>_xlfn.IFERROR('Tabela PW'!Z98,"")</f>
        <v/>
      </c>
      <c r="E127" s="183"/>
      <c r="F127" s="186" t="str">
        <f>_xlfn.IFERROR('Tabela PW'!AA98,"")</f>
        <v/>
      </c>
      <c r="G127" s="184"/>
      <c r="H127" s="188" t="str">
        <f>_xlfn.IFERROR(INDEX('Tabela PW'!AC:AL,B127+1,'Słownik PW'!$A$26-2009),"")</f>
        <v/>
      </c>
      <c r="I127" s="188"/>
      <c r="J127" s="188" t="str">
        <f>_xlfn.IFERROR(IF('Słownik PW'!$A$26=2010,"",INDEX('Tabela PW'!AC:AL,B127+1,'Słownik PW'!$A$26-2010)),"")</f>
        <v/>
      </c>
      <c r="K127" s="187"/>
      <c r="L127" s="189" t="str">
        <f>_xlfn.IFERROR(IF('Słownik PW'!$A$26=2010,"",H127/J127*100),"")</f>
        <v/>
      </c>
      <c r="M127" s="187"/>
      <c r="N127" s="399"/>
      <c r="O127" s="399"/>
      <c r="P127" s="187"/>
      <c r="Q127" s="189" t="str">
        <f>_xlfn.IFERROR(INDEX('Tabela PW'!AP:AP,B127+1,1),"")</f>
        <v/>
      </c>
      <c r="R127" s="187"/>
      <c r="S127" s="188" t="str">
        <f>IF('Słownik PW'!$A$11=FALSE,"",_xlfn.IFERROR(INDEX('Tabela PW'!$AC:$AI,B127+1,1),""))</f>
        <v/>
      </c>
      <c r="T127" s="188"/>
      <c r="U127" s="188" t="str">
        <f>IF('Słownik PW'!$A$11=FALSE,"",_xlfn.IFERROR(INDEX('Tabela PW'!$AC:$AI,B127+1,2),""))</f>
        <v/>
      </c>
      <c r="V127" s="188"/>
      <c r="W127" s="188" t="str">
        <f>IF('Słownik PW'!$A$11=FALSE,"",_xlfn.IFERROR(INDEX('Tabela PW'!$AC:$AI,B127+1,3),""))</f>
        <v/>
      </c>
      <c r="X127" s="188"/>
      <c r="Y127" s="188" t="str">
        <f>IF('Słownik PW'!$A$11=FALSE,"",_xlfn.IFERROR(INDEX('Tabela PW'!$AC:$AI,B127+1,4),""))</f>
        <v/>
      </c>
      <c r="Z127" s="193"/>
      <c r="AA127" s="188" t="str">
        <f>IF('Słownik PW'!$A$11=FALSE,"",_xlfn.IFERROR(INDEX('Tabela PW'!$AC:$AI,B127+1,5),""))</f>
        <v/>
      </c>
      <c r="AB127" s="191"/>
      <c r="AC127" s="188" t="str">
        <f>IF('Słownik PW'!$A$11=FALSE,"",_xlfn.IFERROR(INDEX('Tabela PW'!$AC:$AI,B127+1,6),""))</f>
        <v/>
      </c>
      <c r="AD127" s="191"/>
      <c r="AE127" s="188" t="str">
        <f>IF('Słownik PW'!$A$11=FALSE,"",_xlfn.IFERROR(INDEX('Tabela PW'!$AC:$AI,B127+1,7),""))</f>
        <v/>
      </c>
      <c r="AF127" s="191"/>
      <c r="AG127" s="188" t="str">
        <f>IF('Słownik PW'!$A$11=FALSE,"",_xlfn.IFERROR(INDEX('Tabela PW'!$AC:$AJ,B127+1,8),""))</f>
        <v/>
      </c>
      <c r="AH127" s="191"/>
      <c r="AI127" s="188" t="str">
        <f>IF('Słownik PW'!$A$11=FALSE,"",_xlfn.IFERROR(INDEX('Tabela PW'!$AC:$AK,B127+1,9),""))</f>
        <v/>
      </c>
      <c r="AJ127" s="191"/>
      <c r="AK127" s="188" t="str">
        <f>IF('Słownik PW'!$A$11=FALSE,"",_xlfn.IFERROR(INDEX('Tabela PW'!$AC:$AL,B127+1,10),""))</f>
        <v/>
      </c>
    </row>
    <row r="128" spans="2:37" s="182" customFormat="1" ht="22.5" customHeight="1">
      <c r="B128" s="184" t="str">
        <f aca="true" t="shared" si="3" ref="B128:B148">IF(D128="","",B127+1)</f>
        <v/>
      </c>
      <c r="D128" s="184" t="str">
        <f>_xlfn.IFERROR('Tabela PW'!Z99,"")</f>
        <v/>
      </c>
      <c r="E128" s="183"/>
      <c r="F128" s="186" t="str">
        <f>_xlfn.IFERROR('Tabela PW'!AA99,"")</f>
        <v/>
      </c>
      <c r="G128" s="184"/>
      <c r="H128" s="188" t="str">
        <f>_xlfn.IFERROR(INDEX('Tabela PW'!AC:AL,B128+1,'Słownik PW'!$A$26-2009),"")</f>
        <v/>
      </c>
      <c r="I128" s="188"/>
      <c r="J128" s="188" t="str">
        <f>_xlfn.IFERROR(IF('Słownik PW'!$A$26=2010,"",INDEX('Tabela PW'!AC:AL,B128+1,'Słownik PW'!$A$26-2010)),"")</f>
        <v/>
      </c>
      <c r="K128" s="187"/>
      <c r="L128" s="189" t="str">
        <f>_xlfn.IFERROR(IF('Słownik PW'!$A$26=2010,"",H128/J128*100),"")</f>
        <v/>
      </c>
      <c r="M128" s="187"/>
      <c r="N128" s="399"/>
      <c r="O128" s="399"/>
      <c r="P128" s="187"/>
      <c r="Q128" s="189" t="str">
        <f>_xlfn.IFERROR(INDEX('Tabela PW'!AP:AP,B128+1,1),"")</f>
        <v/>
      </c>
      <c r="R128" s="187"/>
      <c r="S128" s="188" t="str">
        <f>IF('Słownik PW'!$A$11=FALSE,"",_xlfn.IFERROR(INDEX('Tabela PW'!$AC:$AI,B128+1,1),""))</f>
        <v/>
      </c>
      <c r="T128" s="188"/>
      <c r="U128" s="188" t="str">
        <f>IF('Słownik PW'!$A$11=FALSE,"",_xlfn.IFERROR(INDEX('Tabela PW'!$AC:$AI,B128+1,2),""))</f>
        <v/>
      </c>
      <c r="V128" s="188"/>
      <c r="W128" s="188" t="str">
        <f>IF('Słownik PW'!$A$11=FALSE,"",_xlfn.IFERROR(INDEX('Tabela PW'!$AC:$AI,B128+1,3),""))</f>
        <v/>
      </c>
      <c r="X128" s="188"/>
      <c r="Y128" s="188" t="str">
        <f>IF('Słownik PW'!$A$11=FALSE,"",_xlfn.IFERROR(INDEX('Tabela PW'!$AC:$AI,B128+1,4),""))</f>
        <v/>
      </c>
      <c r="Z128" s="193"/>
      <c r="AA128" s="188" t="str">
        <f>IF('Słownik PW'!$A$11=FALSE,"",_xlfn.IFERROR(INDEX('Tabela PW'!$AC:$AI,B128+1,5),""))</f>
        <v/>
      </c>
      <c r="AB128" s="191"/>
      <c r="AC128" s="188" t="str">
        <f>IF('Słownik PW'!$A$11=FALSE,"",_xlfn.IFERROR(INDEX('Tabela PW'!$AC:$AI,B128+1,6),""))</f>
        <v/>
      </c>
      <c r="AD128" s="191"/>
      <c r="AE128" s="188" t="str">
        <f>IF('Słownik PW'!$A$11=FALSE,"",_xlfn.IFERROR(INDEX('Tabela PW'!$AC:$AI,B128+1,7),""))</f>
        <v/>
      </c>
      <c r="AF128" s="191"/>
      <c r="AG128" s="188" t="str">
        <f>IF('Słownik PW'!$A$11=FALSE,"",_xlfn.IFERROR(INDEX('Tabela PW'!$AC:$AJ,B128+1,8),""))</f>
        <v/>
      </c>
      <c r="AH128" s="191"/>
      <c r="AI128" s="188" t="str">
        <f>IF('Słownik PW'!$A$11=FALSE,"",_xlfn.IFERROR(INDEX('Tabela PW'!$AC:$AK,B128+1,9),""))</f>
        <v/>
      </c>
      <c r="AJ128" s="191"/>
      <c r="AK128" s="188" t="str">
        <f>IF('Słownik PW'!$A$11=FALSE,"",_xlfn.IFERROR(INDEX('Tabela PW'!$AC:$AL,B128+1,10),""))</f>
        <v/>
      </c>
    </row>
    <row r="129" spans="2:37" s="182" customFormat="1" ht="22.5" customHeight="1">
      <c r="B129" s="184" t="str">
        <f t="shared" si="3"/>
        <v/>
      </c>
      <c r="D129" s="184" t="str">
        <f>_xlfn.IFERROR('Tabela PW'!Z100,"")</f>
        <v/>
      </c>
      <c r="E129" s="183"/>
      <c r="F129" s="186" t="str">
        <f>_xlfn.IFERROR('Tabela PW'!AA100,"")</f>
        <v/>
      </c>
      <c r="G129" s="184"/>
      <c r="H129" s="188" t="str">
        <f>_xlfn.IFERROR(INDEX('Tabela PW'!AC:AL,B129+1,'Słownik PW'!$A$26-2009),"")</f>
        <v/>
      </c>
      <c r="I129" s="188"/>
      <c r="J129" s="188" t="str">
        <f>_xlfn.IFERROR(IF('Słownik PW'!$A$26=2010,"",INDEX('Tabela PW'!AC:AL,B129+1,'Słownik PW'!$A$26-2010)),"")</f>
        <v/>
      </c>
      <c r="K129" s="187"/>
      <c r="L129" s="189" t="str">
        <f>_xlfn.IFERROR(IF('Słownik PW'!$A$26=2010,"",H129/J129*100),"")</f>
        <v/>
      </c>
      <c r="M129" s="187"/>
      <c r="N129" s="399"/>
      <c r="O129" s="399"/>
      <c r="P129" s="187"/>
      <c r="Q129" s="189" t="str">
        <f>_xlfn.IFERROR(INDEX('Tabela PW'!AP:AP,B129+1,1),"")</f>
        <v/>
      </c>
      <c r="R129" s="187"/>
      <c r="S129" s="188" t="str">
        <f>IF('Słownik PW'!$A$11=FALSE,"",_xlfn.IFERROR(INDEX('Tabela PW'!$AC:$AI,B129+1,1),""))</f>
        <v/>
      </c>
      <c r="T129" s="188"/>
      <c r="U129" s="188" t="str">
        <f>IF('Słownik PW'!$A$11=FALSE,"",_xlfn.IFERROR(INDEX('Tabela PW'!$AC:$AI,B129+1,2),""))</f>
        <v/>
      </c>
      <c r="V129" s="188"/>
      <c r="W129" s="188" t="str">
        <f>IF('Słownik PW'!$A$11=FALSE,"",_xlfn.IFERROR(INDEX('Tabela PW'!$AC:$AI,B129+1,3),""))</f>
        <v/>
      </c>
      <c r="X129" s="188"/>
      <c r="Y129" s="188" t="str">
        <f>IF('Słownik PW'!$A$11=FALSE,"",_xlfn.IFERROR(INDEX('Tabela PW'!$AC:$AI,B129+1,4),""))</f>
        <v/>
      </c>
      <c r="Z129" s="193"/>
      <c r="AA129" s="188" t="str">
        <f>IF('Słownik PW'!$A$11=FALSE,"",_xlfn.IFERROR(INDEX('Tabela PW'!$AC:$AI,B129+1,5),""))</f>
        <v/>
      </c>
      <c r="AB129" s="191"/>
      <c r="AC129" s="188" t="str">
        <f>IF('Słownik PW'!$A$11=FALSE,"",_xlfn.IFERROR(INDEX('Tabela PW'!$AC:$AI,B129+1,6),""))</f>
        <v/>
      </c>
      <c r="AD129" s="191"/>
      <c r="AE129" s="188" t="str">
        <f>IF('Słownik PW'!$A$11=FALSE,"",_xlfn.IFERROR(INDEX('Tabela PW'!$AC:$AI,B129+1,7),""))</f>
        <v/>
      </c>
      <c r="AF129" s="191"/>
      <c r="AG129" s="188" t="str">
        <f>IF('Słownik PW'!$A$11=FALSE,"",_xlfn.IFERROR(INDEX('Tabela PW'!$AC:$AJ,B129+1,8),""))</f>
        <v/>
      </c>
      <c r="AH129" s="191"/>
      <c r="AI129" s="188" t="str">
        <f>IF('Słownik PW'!$A$11=FALSE,"",_xlfn.IFERROR(INDEX('Tabela PW'!$AC:$AK,B129+1,9),""))</f>
        <v/>
      </c>
      <c r="AJ129" s="191"/>
      <c r="AK129" s="188" t="str">
        <f>IF('Słownik PW'!$A$11=FALSE,"",_xlfn.IFERROR(INDEX('Tabela PW'!$AC:$AL,B129+1,10),""))</f>
        <v/>
      </c>
    </row>
    <row r="130" spans="2:37" s="182" customFormat="1" ht="22.5" customHeight="1">
      <c r="B130" s="184" t="str">
        <f t="shared" si="3"/>
        <v/>
      </c>
      <c r="D130" s="184" t="str">
        <f>_xlfn.IFERROR('Tabela PW'!Z101,"")</f>
        <v/>
      </c>
      <c r="E130" s="183"/>
      <c r="F130" s="186" t="str">
        <f>_xlfn.IFERROR('Tabela PW'!AA101,"")</f>
        <v/>
      </c>
      <c r="G130" s="184"/>
      <c r="H130" s="188" t="str">
        <f>_xlfn.IFERROR(INDEX('Tabela PW'!AC:AL,B130+1,'Słownik PW'!$A$26-2009),"")</f>
        <v/>
      </c>
      <c r="I130" s="188"/>
      <c r="J130" s="188" t="str">
        <f>_xlfn.IFERROR(IF('Słownik PW'!$A$26=2010,"",INDEX('Tabela PW'!AC:AL,B130+1,'Słownik PW'!$A$26-2010)),"")</f>
        <v/>
      </c>
      <c r="K130" s="187"/>
      <c r="L130" s="189" t="str">
        <f>_xlfn.IFERROR(IF('Słownik PW'!$A$26=2010,"",H130/J130*100),"")</f>
        <v/>
      </c>
      <c r="M130" s="187"/>
      <c r="N130" s="399"/>
      <c r="O130" s="399"/>
      <c r="P130" s="187"/>
      <c r="Q130" s="189" t="str">
        <f>_xlfn.IFERROR(INDEX('Tabela PW'!AP:AP,B130+1,1),"")</f>
        <v/>
      </c>
      <c r="R130" s="187"/>
      <c r="S130" s="188" t="str">
        <f>IF('Słownik PW'!$A$11=FALSE,"",_xlfn.IFERROR(INDEX('Tabela PW'!$AC:$AI,B130+1,1),""))</f>
        <v/>
      </c>
      <c r="T130" s="188"/>
      <c r="U130" s="188" t="str">
        <f>IF('Słownik PW'!$A$11=FALSE,"",_xlfn.IFERROR(INDEX('Tabela PW'!$AC:$AI,B130+1,2),""))</f>
        <v/>
      </c>
      <c r="V130" s="188"/>
      <c r="W130" s="188" t="str">
        <f>IF('Słownik PW'!$A$11=FALSE,"",_xlfn.IFERROR(INDEX('Tabela PW'!$AC:$AI,B130+1,3),""))</f>
        <v/>
      </c>
      <c r="X130" s="188"/>
      <c r="Y130" s="188" t="str">
        <f>IF('Słownik PW'!$A$11=FALSE,"",_xlfn.IFERROR(INDEX('Tabela PW'!$AC:$AI,B130+1,4),""))</f>
        <v/>
      </c>
      <c r="Z130" s="193"/>
      <c r="AA130" s="188" t="str">
        <f>IF('Słownik PW'!$A$11=FALSE,"",_xlfn.IFERROR(INDEX('Tabela PW'!$AC:$AI,B130+1,5),""))</f>
        <v/>
      </c>
      <c r="AB130" s="191"/>
      <c r="AC130" s="188" t="str">
        <f>IF('Słownik PW'!$A$11=FALSE,"",_xlfn.IFERROR(INDEX('Tabela PW'!$AC:$AI,B130+1,6),""))</f>
        <v/>
      </c>
      <c r="AD130" s="191"/>
      <c r="AE130" s="188" t="str">
        <f>IF('Słownik PW'!$A$11=FALSE,"",_xlfn.IFERROR(INDEX('Tabela PW'!$AC:$AI,B130+1,7),""))</f>
        <v/>
      </c>
      <c r="AF130" s="191"/>
      <c r="AG130" s="188" t="str">
        <f>IF('Słownik PW'!$A$11=FALSE,"",_xlfn.IFERROR(INDEX('Tabela PW'!$AC:$AJ,B130+1,8),""))</f>
        <v/>
      </c>
      <c r="AH130" s="191"/>
      <c r="AI130" s="188" t="str">
        <f>IF('Słownik PW'!$A$11=FALSE,"",_xlfn.IFERROR(INDEX('Tabela PW'!$AC:$AK,B130+1,9),""))</f>
        <v/>
      </c>
      <c r="AJ130" s="191"/>
      <c r="AK130" s="188" t="str">
        <f>IF('Słownik PW'!$A$11=FALSE,"",_xlfn.IFERROR(INDEX('Tabela PW'!$AC:$AL,B130+1,10),""))</f>
        <v/>
      </c>
    </row>
    <row r="131" spans="2:37" s="182" customFormat="1" ht="22.5" customHeight="1">
      <c r="B131" s="184" t="str">
        <f t="shared" si="3"/>
        <v/>
      </c>
      <c r="D131" s="184" t="str">
        <f>_xlfn.IFERROR('Tabela PW'!Z102,"")</f>
        <v/>
      </c>
      <c r="E131" s="183"/>
      <c r="F131" s="186" t="str">
        <f>_xlfn.IFERROR('Tabela PW'!AA102,"")</f>
        <v/>
      </c>
      <c r="G131" s="184"/>
      <c r="H131" s="188" t="str">
        <f>_xlfn.IFERROR(INDEX('Tabela PW'!AC:AL,B131+1,'Słownik PW'!$A$26-2009),"")</f>
        <v/>
      </c>
      <c r="I131" s="188"/>
      <c r="J131" s="188" t="str">
        <f>_xlfn.IFERROR(IF('Słownik PW'!$A$26=2010,"",INDEX('Tabela PW'!AC:AL,B131+1,'Słownik PW'!$A$26-2010)),"")</f>
        <v/>
      </c>
      <c r="K131" s="187"/>
      <c r="L131" s="189" t="str">
        <f>_xlfn.IFERROR(IF('Słownik PW'!$A$26=2010,"",H131/J131*100),"")</f>
        <v/>
      </c>
      <c r="M131" s="187"/>
      <c r="N131" s="399"/>
      <c r="O131" s="399"/>
      <c r="P131" s="187"/>
      <c r="Q131" s="189" t="str">
        <f>_xlfn.IFERROR(INDEX('Tabela PW'!AP:AP,B131+1,1),"")</f>
        <v/>
      </c>
      <c r="R131" s="187"/>
      <c r="S131" s="188" t="str">
        <f>IF('Słownik PW'!$A$11=FALSE,"",_xlfn.IFERROR(INDEX('Tabela PW'!$AC:$AI,B131+1,1),""))</f>
        <v/>
      </c>
      <c r="T131" s="188"/>
      <c r="U131" s="188" t="str">
        <f>IF('Słownik PW'!$A$11=FALSE,"",_xlfn.IFERROR(INDEX('Tabela PW'!$AC:$AI,B131+1,2),""))</f>
        <v/>
      </c>
      <c r="V131" s="188"/>
      <c r="W131" s="188" t="str">
        <f>IF('Słownik PW'!$A$11=FALSE,"",_xlfn.IFERROR(INDEX('Tabela PW'!$AC:$AI,B131+1,3),""))</f>
        <v/>
      </c>
      <c r="X131" s="188"/>
      <c r="Y131" s="188" t="str">
        <f>IF('Słownik PW'!$A$11=FALSE,"",_xlfn.IFERROR(INDEX('Tabela PW'!$AC:$AI,B131+1,4),""))</f>
        <v/>
      </c>
      <c r="Z131" s="193"/>
      <c r="AA131" s="188" t="str">
        <f>IF('Słownik PW'!$A$11=FALSE,"",_xlfn.IFERROR(INDEX('Tabela PW'!$AC:$AI,B131+1,5),""))</f>
        <v/>
      </c>
      <c r="AB131" s="191"/>
      <c r="AC131" s="188" t="str">
        <f>IF('Słownik PW'!$A$11=FALSE,"",_xlfn.IFERROR(INDEX('Tabela PW'!$AC:$AI,B131+1,6),""))</f>
        <v/>
      </c>
      <c r="AD131" s="191"/>
      <c r="AE131" s="188" t="str">
        <f>IF('Słownik PW'!$A$11=FALSE,"",_xlfn.IFERROR(INDEX('Tabela PW'!$AC:$AI,B131+1,7),""))</f>
        <v/>
      </c>
      <c r="AF131" s="191"/>
      <c r="AG131" s="188" t="str">
        <f>IF('Słownik PW'!$A$11=FALSE,"",_xlfn.IFERROR(INDEX('Tabela PW'!$AC:$AJ,B131+1,8),""))</f>
        <v/>
      </c>
      <c r="AH131" s="191"/>
      <c r="AI131" s="188" t="str">
        <f>IF('Słownik PW'!$A$11=FALSE,"",_xlfn.IFERROR(INDEX('Tabela PW'!$AC:$AK,B131+1,9),""))</f>
        <v/>
      </c>
      <c r="AJ131" s="191"/>
      <c r="AK131" s="188" t="str">
        <f>IF('Słownik PW'!$A$11=FALSE,"",_xlfn.IFERROR(INDEX('Tabela PW'!$AC:$AL,B131+1,10),""))</f>
        <v/>
      </c>
    </row>
    <row r="132" spans="2:37" s="182" customFormat="1" ht="22.5" customHeight="1">
      <c r="B132" s="184" t="str">
        <f t="shared" si="3"/>
        <v/>
      </c>
      <c r="D132" s="184" t="str">
        <f>_xlfn.IFERROR('Tabela PW'!Z103,"")</f>
        <v/>
      </c>
      <c r="E132" s="183"/>
      <c r="F132" s="186" t="str">
        <f>_xlfn.IFERROR('Tabela PW'!AA103,"")</f>
        <v/>
      </c>
      <c r="G132" s="184"/>
      <c r="H132" s="188" t="str">
        <f>_xlfn.IFERROR(INDEX('Tabela PW'!AC:AL,B132+1,'Słownik PW'!$A$26-2009),"")</f>
        <v/>
      </c>
      <c r="I132" s="188"/>
      <c r="J132" s="188" t="str">
        <f>_xlfn.IFERROR(IF('Słownik PW'!$A$26=2010,"",INDEX('Tabela PW'!AC:AL,B132+1,'Słownik PW'!$A$26-2010)),"")</f>
        <v/>
      </c>
      <c r="K132" s="187"/>
      <c r="L132" s="189" t="str">
        <f>_xlfn.IFERROR(IF('Słownik PW'!$A$26=2010,"",H132/J132*100),"")</f>
        <v/>
      </c>
      <c r="M132" s="187"/>
      <c r="N132" s="399"/>
      <c r="O132" s="399"/>
      <c r="P132" s="187"/>
      <c r="Q132" s="189" t="str">
        <f>_xlfn.IFERROR(INDEX('Tabela PW'!AP:AP,B132+1,1),"")</f>
        <v/>
      </c>
      <c r="R132" s="187"/>
      <c r="S132" s="188" t="str">
        <f>IF('Słownik PW'!$A$11=FALSE,"",_xlfn.IFERROR(INDEX('Tabela PW'!$AC:$AI,B132+1,1),""))</f>
        <v/>
      </c>
      <c r="T132" s="188"/>
      <c r="U132" s="188" t="str">
        <f>IF('Słownik PW'!$A$11=FALSE,"",_xlfn.IFERROR(INDEX('Tabela PW'!$AC:$AI,B132+1,2),""))</f>
        <v/>
      </c>
      <c r="V132" s="188"/>
      <c r="W132" s="188" t="str">
        <f>IF('Słownik PW'!$A$11=FALSE,"",_xlfn.IFERROR(INDEX('Tabela PW'!$AC:$AI,B132+1,3),""))</f>
        <v/>
      </c>
      <c r="X132" s="188"/>
      <c r="Y132" s="188" t="str">
        <f>IF('Słownik PW'!$A$11=FALSE,"",_xlfn.IFERROR(INDEX('Tabela PW'!$AC:$AI,B132+1,4),""))</f>
        <v/>
      </c>
      <c r="Z132" s="193"/>
      <c r="AA132" s="188" t="str">
        <f>IF('Słownik PW'!$A$11=FALSE,"",_xlfn.IFERROR(INDEX('Tabela PW'!$AC:$AI,B132+1,5),""))</f>
        <v/>
      </c>
      <c r="AB132" s="191"/>
      <c r="AC132" s="188" t="str">
        <f>IF('Słownik PW'!$A$11=FALSE,"",_xlfn.IFERROR(INDEX('Tabela PW'!$AC:$AI,B132+1,6),""))</f>
        <v/>
      </c>
      <c r="AD132" s="191"/>
      <c r="AE132" s="188" t="str">
        <f>IF('Słownik PW'!$A$11=FALSE,"",_xlfn.IFERROR(INDEX('Tabela PW'!$AC:$AI,B132+1,7),""))</f>
        <v/>
      </c>
      <c r="AF132" s="191"/>
      <c r="AG132" s="188" t="str">
        <f>IF('Słownik PW'!$A$11=FALSE,"",_xlfn.IFERROR(INDEX('Tabela PW'!$AC:$AJ,B132+1,8),""))</f>
        <v/>
      </c>
      <c r="AH132" s="191"/>
      <c r="AI132" s="188" t="str">
        <f>IF('Słownik PW'!$A$11=FALSE,"",_xlfn.IFERROR(INDEX('Tabela PW'!$AC:$AK,B132+1,9),""))</f>
        <v/>
      </c>
      <c r="AJ132" s="191"/>
      <c r="AK132" s="188" t="str">
        <f>IF('Słownik PW'!$A$11=FALSE,"",_xlfn.IFERROR(INDEX('Tabela PW'!$AC:$AL,B132+1,10),""))</f>
        <v/>
      </c>
    </row>
    <row r="133" spans="2:37" s="182" customFormat="1" ht="22.5" customHeight="1">
      <c r="B133" s="184" t="str">
        <f t="shared" si="3"/>
        <v/>
      </c>
      <c r="D133" s="184" t="str">
        <f>_xlfn.IFERROR('Tabela PW'!Z104,"")</f>
        <v/>
      </c>
      <c r="E133" s="183"/>
      <c r="F133" s="186" t="str">
        <f>_xlfn.IFERROR('Tabela PW'!AA104,"")</f>
        <v/>
      </c>
      <c r="G133" s="184"/>
      <c r="H133" s="188" t="str">
        <f>_xlfn.IFERROR(INDEX('Tabela PW'!AC:AL,B133+1,'Słownik PW'!$A$26-2009),"")</f>
        <v/>
      </c>
      <c r="I133" s="188"/>
      <c r="J133" s="188" t="str">
        <f>_xlfn.IFERROR(IF('Słownik PW'!$A$26=2010,"",INDEX('Tabela PW'!AC:AL,B133+1,'Słownik PW'!$A$26-2010)),"")</f>
        <v/>
      </c>
      <c r="K133" s="187"/>
      <c r="L133" s="189" t="str">
        <f>_xlfn.IFERROR(IF('Słownik PW'!$A$26=2010,"",H133/J133*100),"")</f>
        <v/>
      </c>
      <c r="M133" s="187"/>
      <c r="N133" s="399"/>
      <c r="O133" s="399"/>
      <c r="P133" s="187"/>
      <c r="Q133" s="189" t="str">
        <f>_xlfn.IFERROR(INDEX('Tabela PW'!AP:AP,B133+1,1),"")</f>
        <v/>
      </c>
      <c r="R133" s="187"/>
      <c r="S133" s="188" t="str">
        <f>IF('Słownik PW'!$A$11=FALSE,"",_xlfn.IFERROR(INDEX('Tabela PW'!$AC:$AI,B133+1,1),""))</f>
        <v/>
      </c>
      <c r="T133" s="188"/>
      <c r="U133" s="188" t="str">
        <f>IF('Słownik PW'!$A$11=FALSE,"",_xlfn.IFERROR(INDEX('Tabela PW'!$AC:$AI,B133+1,2),""))</f>
        <v/>
      </c>
      <c r="V133" s="188"/>
      <c r="W133" s="188" t="str">
        <f>IF('Słownik PW'!$A$11=FALSE,"",_xlfn.IFERROR(INDEX('Tabela PW'!$AC:$AI,B133+1,3),""))</f>
        <v/>
      </c>
      <c r="X133" s="188"/>
      <c r="Y133" s="188" t="str">
        <f>IF('Słownik PW'!$A$11=FALSE,"",_xlfn.IFERROR(INDEX('Tabela PW'!$AC:$AI,B133+1,4),""))</f>
        <v/>
      </c>
      <c r="Z133" s="193"/>
      <c r="AA133" s="188" t="str">
        <f>IF('Słownik PW'!$A$11=FALSE,"",_xlfn.IFERROR(INDEX('Tabela PW'!$AC:$AI,B133+1,5),""))</f>
        <v/>
      </c>
      <c r="AB133" s="191"/>
      <c r="AC133" s="188" t="str">
        <f>IF('Słownik PW'!$A$11=FALSE,"",_xlfn.IFERROR(INDEX('Tabela PW'!$AC:$AI,B133+1,6),""))</f>
        <v/>
      </c>
      <c r="AD133" s="191"/>
      <c r="AE133" s="188" t="str">
        <f>IF('Słownik PW'!$A$11=FALSE,"",_xlfn.IFERROR(INDEX('Tabela PW'!$AC:$AI,B133+1,7),""))</f>
        <v/>
      </c>
      <c r="AF133" s="191"/>
      <c r="AG133" s="188" t="str">
        <f>IF('Słownik PW'!$A$11=FALSE,"",_xlfn.IFERROR(INDEX('Tabela PW'!$AC:$AJ,B133+1,8),""))</f>
        <v/>
      </c>
      <c r="AH133" s="191"/>
      <c r="AI133" s="188" t="str">
        <f>IF('Słownik PW'!$A$11=FALSE,"",_xlfn.IFERROR(INDEX('Tabela PW'!$AC:$AK,B133+1,9),""))</f>
        <v/>
      </c>
      <c r="AJ133" s="191"/>
      <c r="AK133" s="188" t="str">
        <f>IF('Słownik PW'!$A$11=FALSE,"",_xlfn.IFERROR(INDEX('Tabela PW'!$AC:$AL,B133+1,10),""))</f>
        <v/>
      </c>
    </row>
    <row r="134" spans="2:37" s="182" customFormat="1" ht="22.5" customHeight="1">
      <c r="B134" s="184" t="str">
        <f t="shared" si="3"/>
        <v/>
      </c>
      <c r="D134" s="184" t="str">
        <f>_xlfn.IFERROR('Tabela PW'!Z105,"")</f>
        <v/>
      </c>
      <c r="E134" s="183"/>
      <c r="F134" s="186" t="str">
        <f>_xlfn.IFERROR('Tabela PW'!AA105,"")</f>
        <v/>
      </c>
      <c r="G134" s="184"/>
      <c r="H134" s="188" t="str">
        <f>_xlfn.IFERROR(INDEX('Tabela PW'!AC:AL,B134+1,'Słownik PW'!$A$26-2009),"")</f>
        <v/>
      </c>
      <c r="I134" s="188"/>
      <c r="J134" s="188" t="str">
        <f>_xlfn.IFERROR(IF('Słownik PW'!$A$26=2010,"",INDEX('Tabela PW'!AC:AL,B134+1,'Słownik PW'!$A$26-2010)),"")</f>
        <v/>
      </c>
      <c r="K134" s="187"/>
      <c r="L134" s="189" t="str">
        <f>_xlfn.IFERROR(IF('Słownik PW'!$A$26=2010,"",H134/J134*100),"")</f>
        <v/>
      </c>
      <c r="M134" s="187"/>
      <c r="N134" s="399"/>
      <c r="O134" s="399"/>
      <c r="P134" s="187"/>
      <c r="Q134" s="189" t="str">
        <f>_xlfn.IFERROR(INDEX('Tabela PW'!AP:AP,B134+1,1),"")</f>
        <v/>
      </c>
      <c r="R134" s="187"/>
      <c r="S134" s="188" t="str">
        <f>IF('Słownik PW'!$A$11=FALSE,"",_xlfn.IFERROR(INDEX('Tabela PW'!$AC:$AI,B134+1,1),""))</f>
        <v/>
      </c>
      <c r="T134" s="188"/>
      <c r="U134" s="188" t="str">
        <f>IF('Słownik PW'!$A$11=FALSE,"",_xlfn.IFERROR(INDEX('Tabela PW'!$AC:$AI,B134+1,2),""))</f>
        <v/>
      </c>
      <c r="V134" s="188"/>
      <c r="W134" s="188" t="str">
        <f>IF('Słownik PW'!$A$11=FALSE,"",_xlfn.IFERROR(INDEX('Tabela PW'!$AC:$AI,B134+1,3),""))</f>
        <v/>
      </c>
      <c r="X134" s="188"/>
      <c r="Y134" s="188" t="str">
        <f>IF('Słownik PW'!$A$11=FALSE,"",_xlfn.IFERROR(INDEX('Tabela PW'!$AC:$AI,B134+1,4),""))</f>
        <v/>
      </c>
      <c r="Z134" s="193"/>
      <c r="AA134" s="188" t="str">
        <f>IF('Słownik PW'!$A$11=FALSE,"",_xlfn.IFERROR(INDEX('Tabela PW'!$AC:$AI,B134+1,5),""))</f>
        <v/>
      </c>
      <c r="AB134" s="191"/>
      <c r="AC134" s="188" t="str">
        <f>IF('Słownik PW'!$A$11=FALSE,"",_xlfn.IFERROR(INDEX('Tabela PW'!$AC:$AI,B134+1,6),""))</f>
        <v/>
      </c>
      <c r="AD134" s="191"/>
      <c r="AE134" s="188" t="str">
        <f>IF('Słownik PW'!$A$11=FALSE,"",_xlfn.IFERROR(INDEX('Tabela PW'!$AC:$AI,B134+1,7),""))</f>
        <v/>
      </c>
      <c r="AF134" s="191"/>
      <c r="AG134" s="188" t="str">
        <f>IF('Słownik PW'!$A$11=FALSE,"",_xlfn.IFERROR(INDEX('Tabela PW'!$AC:$AJ,B134+1,8),""))</f>
        <v/>
      </c>
      <c r="AH134" s="191"/>
      <c r="AI134" s="188" t="str">
        <f>IF('Słownik PW'!$A$11=FALSE,"",_xlfn.IFERROR(INDEX('Tabela PW'!$AC:$AK,B134+1,9),""))</f>
        <v/>
      </c>
      <c r="AJ134" s="191"/>
      <c r="AK134" s="188" t="str">
        <f>IF('Słownik PW'!$A$11=FALSE,"",_xlfn.IFERROR(INDEX('Tabela PW'!$AC:$AL,B134+1,10),""))</f>
        <v/>
      </c>
    </row>
    <row r="135" spans="2:37" s="182" customFormat="1" ht="22.5" customHeight="1">
      <c r="B135" s="184" t="str">
        <f t="shared" si="3"/>
        <v/>
      </c>
      <c r="D135" s="184" t="str">
        <f>_xlfn.IFERROR('Tabela PW'!Z106,"")</f>
        <v/>
      </c>
      <c r="E135" s="183"/>
      <c r="F135" s="186" t="str">
        <f>_xlfn.IFERROR('Tabela PW'!AA106,"")</f>
        <v/>
      </c>
      <c r="G135" s="184"/>
      <c r="H135" s="188" t="str">
        <f>_xlfn.IFERROR(INDEX('Tabela PW'!AC:AL,B135+1,'Słownik PW'!$A$26-2009),"")</f>
        <v/>
      </c>
      <c r="I135" s="188"/>
      <c r="J135" s="188" t="str">
        <f>_xlfn.IFERROR(IF('Słownik PW'!$A$26=2010,"",INDEX('Tabela PW'!AC:AL,B135+1,'Słownik PW'!$A$26-2010)),"")</f>
        <v/>
      </c>
      <c r="K135" s="187"/>
      <c r="L135" s="189" t="str">
        <f>_xlfn.IFERROR(IF('Słownik PW'!$A$26=2010,"",H135/J135*100),"")</f>
        <v/>
      </c>
      <c r="M135" s="187"/>
      <c r="N135" s="399"/>
      <c r="O135" s="399"/>
      <c r="P135" s="187"/>
      <c r="Q135" s="189" t="str">
        <f>_xlfn.IFERROR(INDEX('Tabela PW'!AP:AP,B135+1,1),"")</f>
        <v/>
      </c>
      <c r="R135" s="187"/>
      <c r="S135" s="188" t="str">
        <f>IF('Słownik PW'!$A$11=FALSE,"",_xlfn.IFERROR(INDEX('Tabela PW'!$AC:$AI,B135+1,1),""))</f>
        <v/>
      </c>
      <c r="T135" s="188"/>
      <c r="U135" s="188" t="str">
        <f>IF('Słownik PW'!$A$11=FALSE,"",_xlfn.IFERROR(INDEX('Tabela PW'!$AC:$AI,B135+1,2),""))</f>
        <v/>
      </c>
      <c r="V135" s="188"/>
      <c r="W135" s="188" t="str">
        <f>IF('Słownik PW'!$A$11=FALSE,"",_xlfn.IFERROR(INDEX('Tabela PW'!$AC:$AI,B135+1,3),""))</f>
        <v/>
      </c>
      <c r="X135" s="188"/>
      <c r="Y135" s="188" t="str">
        <f>IF('Słownik PW'!$A$11=FALSE,"",_xlfn.IFERROR(INDEX('Tabela PW'!$AC:$AI,B135+1,4),""))</f>
        <v/>
      </c>
      <c r="Z135" s="193"/>
      <c r="AA135" s="188" t="str">
        <f>IF('Słownik PW'!$A$11=FALSE,"",_xlfn.IFERROR(INDEX('Tabela PW'!$AC:$AI,B135+1,5),""))</f>
        <v/>
      </c>
      <c r="AB135" s="191"/>
      <c r="AC135" s="188" t="str">
        <f>IF('Słownik PW'!$A$11=FALSE,"",_xlfn.IFERROR(INDEX('Tabela PW'!$AC:$AI,B135+1,6),""))</f>
        <v/>
      </c>
      <c r="AD135" s="191"/>
      <c r="AE135" s="188" t="str">
        <f>IF('Słownik PW'!$A$11=FALSE,"",_xlfn.IFERROR(INDEX('Tabela PW'!$AC:$AI,B135+1,7),""))</f>
        <v/>
      </c>
      <c r="AF135" s="191"/>
      <c r="AG135" s="188" t="str">
        <f>IF('Słownik PW'!$A$11=FALSE,"",_xlfn.IFERROR(INDEX('Tabela PW'!$AC:$AJ,B135+1,8),""))</f>
        <v/>
      </c>
      <c r="AH135" s="191"/>
      <c r="AI135" s="188" t="str">
        <f>IF('Słownik PW'!$A$11=FALSE,"",_xlfn.IFERROR(INDEX('Tabela PW'!$AC:$AK,B135+1,9),""))</f>
        <v/>
      </c>
      <c r="AJ135" s="191"/>
      <c r="AK135" s="188" t="str">
        <f>IF('Słownik PW'!$A$11=FALSE,"",_xlfn.IFERROR(INDEX('Tabela PW'!$AC:$AL,B135+1,10),""))</f>
        <v/>
      </c>
    </row>
    <row r="136" spans="2:37" s="182" customFormat="1" ht="22.5" customHeight="1">
      <c r="B136" s="184" t="str">
        <f t="shared" si="3"/>
        <v/>
      </c>
      <c r="D136" s="184" t="str">
        <f>_xlfn.IFERROR('Tabela PW'!Z107,"")</f>
        <v/>
      </c>
      <c r="E136" s="183"/>
      <c r="F136" s="186" t="str">
        <f>_xlfn.IFERROR('Tabela PW'!AA107,"")</f>
        <v/>
      </c>
      <c r="G136" s="184"/>
      <c r="H136" s="188" t="str">
        <f>_xlfn.IFERROR(INDEX('Tabela PW'!AC:AL,B136+1,'Słownik PW'!$A$26-2009),"")</f>
        <v/>
      </c>
      <c r="I136" s="188"/>
      <c r="J136" s="188" t="str">
        <f>_xlfn.IFERROR(IF('Słownik PW'!$A$26=2010,"",INDEX('Tabela PW'!AC:AL,B136+1,'Słownik PW'!$A$26-2010)),"")</f>
        <v/>
      </c>
      <c r="K136" s="187"/>
      <c r="L136" s="189" t="str">
        <f>_xlfn.IFERROR(IF('Słownik PW'!$A$26=2010,"",H136/J136*100),"")</f>
        <v/>
      </c>
      <c r="M136" s="187"/>
      <c r="N136" s="399"/>
      <c r="O136" s="399"/>
      <c r="P136" s="187"/>
      <c r="Q136" s="189" t="str">
        <f>_xlfn.IFERROR(INDEX('Tabela PW'!AP:AP,B136+1,1),"")</f>
        <v/>
      </c>
      <c r="R136" s="187"/>
      <c r="S136" s="188" t="str">
        <f>IF('Słownik PW'!$A$11=FALSE,"",_xlfn.IFERROR(INDEX('Tabela PW'!$AC:$AI,B136+1,1),""))</f>
        <v/>
      </c>
      <c r="T136" s="188"/>
      <c r="U136" s="188" t="str">
        <f>IF('Słownik PW'!$A$11=FALSE,"",_xlfn.IFERROR(INDEX('Tabela PW'!$AC:$AI,B136+1,2),""))</f>
        <v/>
      </c>
      <c r="V136" s="188"/>
      <c r="W136" s="188" t="str">
        <f>IF('Słownik PW'!$A$11=FALSE,"",_xlfn.IFERROR(INDEX('Tabela PW'!$AC:$AI,B136+1,3),""))</f>
        <v/>
      </c>
      <c r="X136" s="188"/>
      <c r="Y136" s="188" t="str">
        <f>IF('Słownik PW'!$A$11=FALSE,"",_xlfn.IFERROR(INDEX('Tabela PW'!$AC:$AI,B136+1,4),""))</f>
        <v/>
      </c>
      <c r="Z136" s="193"/>
      <c r="AA136" s="188" t="str">
        <f>IF('Słownik PW'!$A$11=FALSE,"",_xlfn.IFERROR(INDEX('Tabela PW'!$AC:$AI,B136+1,5),""))</f>
        <v/>
      </c>
      <c r="AB136" s="191"/>
      <c r="AC136" s="188" t="str">
        <f>IF('Słownik PW'!$A$11=FALSE,"",_xlfn.IFERROR(INDEX('Tabela PW'!$AC:$AI,B136+1,6),""))</f>
        <v/>
      </c>
      <c r="AD136" s="191"/>
      <c r="AE136" s="188" t="str">
        <f>IF('Słownik PW'!$A$11=FALSE,"",_xlfn.IFERROR(INDEX('Tabela PW'!$AC:$AI,B136+1,7),""))</f>
        <v/>
      </c>
      <c r="AF136" s="191"/>
      <c r="AG136" s="188" t="str">
        <f>IF('Słownik PW'!$A$11=FALSE,"",_xlfn.IFERROR(INDEX('Tabela PW'!$AC:$AJ,B136+1,8),""))</f>
        <v/>
      </c>
      <c r="AH136" s="191"/>
      <c r="AI136" s="188" t="str">
        <f>IF('Słownik PW'!$A$11=FALSE,"",_xlfn.IFERROR(INDEX('Tabela PW'!$AC:$AK,B136+1,9),""))</f>
        <v/>
      </c>
      <c r="AJ136" s="191"/>
      <c r="AK136" s="188" t="str">
        <f>IF('Słownik PW'!$A$11=FALSE,"",_xlfn.IFERROR(INDEX('Tabela PW'!$AC:$AL,B136+1,10),""))</f>
        <v/>
      </c>
    </row>
    <row r="137" spans="2:37" s="182" customFormat="1" ht="22.5" customHeight="1">
      <c r="B137" s="184" t="str">
        <f t="shared" si="3"/>
        <v/>
      </c>
      <c r="D137" s="184" t="str">
        <f>_xlfn.IFERROR('Tabela PW'!Z108,"")</f>
        <v/>
      </c>
      <c r="E137" s="183"/>
      <c r="F137" s="186" t="str">
        <f>_xlfn.IFERROR('Tabela PW'!AA108,"")</f>
        <v/>
      </c>
      <c r="G137" s="184"/>
      <c r="H137" s="188" t="str">
        <f>_xlfn.IFERROR(INDEX('Tabela PW'!AC:AL,B137+1,'Słownik PW'!$A$26-2009),"")</f>
        <v/>
      </c>
      <c r="I137" s="188"/>
      <c r="J137" s="188" t="str">
        <f>_xlfn.IFERROR(IF('Słownik PW'!$A$26=2010,"",INDEX('Tabela PW'!AC:AL,B137+1,'Słownik PW'!$A$26-2010)),"")</f>
        <v/>
      </c>
      <c r="K137" s="187"/>
      <c r="L137" s="189" t="str">
        <f>_xlfn.IFERROR(IF('Słownik PW'!$A$26=2010,"",H137/J137*100),"")</f>
        <v/>
      </c>
      <c r="M137" s="187"/>
      <c r="N137" s="399"/>
      <c r="O137" s="399"/>
      <c r="P137" s="187"/>
      <c r="Q137" s="189" t="str">
        <f>_xlfn.IFERROR(INDEX('Tabela PW'!AP:AP,B137+1,1),"")</f>
        <v/>
      </c>
      <c r="R137" s="187"/>
      <c r="S137" s="188" t="str">
        <f>IF('Słownik PW'!$A$11=FALSE,"",_xlfn.IFERROR(INDEX('Tabela PW'!$AC:$AI,B137+1,1),""))</f>
        <v/>
      </c>
      <c r="T137" s="188"/>
      <c r="U137" s="188" t="str">
        <f>IF('Słownik PW'!$A$11=FALSE,"",_xlfn.IFERROR(INDEX('Tabela PW'!$AC:$AI,B137+1,2),""))</f>
        <v/>
      </c>
      <c r="V137" s="188"/>
      <c r="W137" s="188" t="str">
        <f>IF('Słownik PW'!$A$11=FALSE,"",_xlfn.IFERROR(INDEX('Tabela PW'!$AC:$AI,B137+1,3),""))</f>
        <v/>
      </c>
      <c r="X137" s="188"/>
      <c r="Y137" s="188" t="str">
        <f>IF('Słownik PW'!$A$11=FALSE,"",_xlfn.IFERROR(INDEX('Tabela PW'!$AC:$AI,B137+1,4),""))</f>
        <v/>
      </c>
      <c r="Z137" s="193"/>
      <c r="AA137" s="188" t="str">
        <f>IF('Słownik PW'!$A$11=FALSE,"",_xlfn.IFERROR(INDEX('Tabela PW'!$AC:$AI,B137+1,5),""))</f>
        <v/>
      </c>
      <c r="AB137" s="191"/>
      <c r="AC137" s="188" t="str">
        <f>IF('Słownik PW'!$A$11=FALSE,"",_xlfn.IFERROR(INDEX('Tabela PW'!$AC:$AI,B137+1,6),""))</f>
        <v/>
      </c>
      <c r="AD137" s="191"/>
      <c r="AE137" s="188" t="str">
        <f>IF('Słownik PW'!$A$11=FALSE,"",_xlfn.IFERROR(INDEX('Tabela PW'!$AC:$AI,B137+1,7),""))</f>
        <v/>
      </c>
      <c r="AF137" s="191"/>
      <c r="AG137" s="188" t="str">
        <f>IF('Słownik PW'!$A$11=FALSE,"",_xlfn.IFERROR(INDEX('Tabela PW'!$AC:$AJ,B137+1,8),""))</f>
        <v/>
      </c>
      <c r="AH137" s="191"/>
      <c r="AI137" s="188" t="str">
        <f>IF('Słownik PW'!$A$11=FALSE,"",_xlfn.IFERROR(INDEX('Tabela PW'!$AC:$AK,B137+1,9),""))</f>
        <v/>
      </c>
      <c r="AJ137" s="191"/>
      <c r="AK137" s="188" t="str">
        <f>IF('Słownik PW'!$A$11=FALSE,"",_xlfn.IFERROR(INDEX('Tabela PW'!$AC:$AL,B137+1,10),""))</f>
        <v/>
      </c>
    </row>
    <row r="138" spans="2:37" s="182" customFormat="1" ht="22.5" customHeight="1">
      <c r="B138" s="184" t="str">
        <f t="shared" si="3"/>
        <v/>
      </c>
      <c r="D138" s="184" t="str">
        <f>_xlfn.IFERROR('Tabela PW'!Z109,"")</f>
        <v/>
      </c>
      <c r="E138" s="183"/>
      <c r="F138" s="186" t="str">
        <f>_xlfn.IFERROR('Tabela PW'!AA109,"")</f>
        <v/>
      </c>
      <c r="G138" s="184"/>
      <c r="H138" s="188" t="str">
        <f>_xlfn.IFERROR(INDEX('Tabela PW'!AC:AL,B138+1,'Słownik PW'!$A$26-2009),"")</f>
        <v/>
      </c>
      <c r="I138" s="188"/>
      <c r="J138" s="188" t="str">
        <f>_xlfn.IFERROR(IF('Słownik PW'!$A$26=2010,"",INDEX('Tabela PW'!AC:AL,B138+1,'Słownik PW'!$A$26-2010)),"")</f>
        <v/>
      </c>
      <c r="K138" s="187"/>
      <c r="L138" s="189" t="str">
        <f>_xlfn.IFERROR(IF('Słownik PW'!$A$26=2010,"",H138/J138*100),"")</f>
        <v/>
      </c>
      <c r="M138" s="187"/>
      <c r="N138" s="399"/>
      <c r="O138" s="399"/>
      <c r="P138" s="187"/>
      <c r="Q138" s="189" t="str">
        <f>_xlfn.IFERROR(INDEX('Tabela PW'!AP:AP,B138+1,1),"")</f>
        <v/>
      </c>
      <c r="R138" s="187"/>
      <c r="S138" s="188" t="str">
        <f>IF('Słownik PW'!$A$11=FALSE,"",_xlfn.IFERROR(INDEX('Tabela PW'!$AC:$AI,B138+1,1),""))</f>
        <v/>
      </c>
      <c r="T138" s="188"/>
      <c r="U138" s="188" t="str">
        <f>IF('Słownik PW'!$A$11=FALSE,"",_xlfn.IFERROR(INDEX('Tabela PW'!$AC:$AI,B138+1,2),""))</f>
        <v/>
      </c>
      <c r="V138" s="188"/>
      <c r="W138" s="188" t="str">
        <f>IF('Słownik PW'!$A$11=FALSE,"",_xlfn.IFERROR(INDEX('Tabela PW'!$AC:$AI,B138+1,3),""))</f>
        <v/>
      </c>
      <c r="X138" s="188"/>
      <c r="Y138" s="188" t="str">
        <f>IF('Słownik PW'!$A$11=FALSE,"",_xlfn.IFERROR(INDEX('Tabela PW'!$AC:$AI,B138+1,4),""))</f>
        <v/>
      </c>
      <c r="Z138" s="193"/>
      <c r="AA138" s="188" t="str">
        <f>IF('Słownik PW'!$A$11=FALSE,"",_xlfn.IFERROR(INDEX('Tabela PW'!$AC:$AI,B138+1,5),""))</f>
        <v/>
      </c>
      <c r="AB138" s="191"/>
      <c r="AC138" s="188" t="str">
        <f>IF('Słownik PW'!$A$11=FALSE,"",_xlfn.IFERROR(INDEX('Tabela PW'!$AC:$AI,B138+1,6),""))</f>
        <v/>
      </c>
      <c r="AD138" s="191"/>
      <c r="AE138" s="188" t="str">
        <f>IF('Słownik PW'!$A$11=FALSE,"",_xlfn.IFERROR(INDEX('Tabela PW'!$AC:$AI,B138+1,7),""))</f>
        <v/>
      </c>
      <c r="AF138" s="191"/>
      <c r="AG138" s="188" t="str">
        <f>IF('Słownik PW'!$A$11=FALSE,"",_xlfn.IFERROR(INDEX('Tabela PW'!$AC:$AJ,B138+1,8),""))</f>
        <v/>
      </c>
      <c r="AH138" s="191"/>
      <c r="AI138" s="188" t="str">
        <f>IF('Słownik PW'!$A$11=FALSE,"",_xlfn.IFERROR(INDEX('Tabela PW'!$AC:$AK,B138+1,9),""))</f>
        <v/>
      </c>
      <c r="AJ138" s="191"/>
      <c r="AK138" s="188" t="str">
        <f>IF('Słownik PW'!$A$11=FALSE,"",_xlfn.IFERROR(INDEX('Tabela PW'!$AC:$AL,B138+1,10),""))</f>
        <v/>
      </c>
    </row>
    <row r="139" spans="2:37" s="182" customFormat="1" ht="22.5" customHeight="1">
      <c r="B139" s="184" t="str">
        <f t="shared" si="3"/>
        <v/>
      </c>
      <c r="D139" s="184" t="str">
        <f>_xlfn.IFERROR('Tabela PW'!Z110,"")</f>
        <v/>
      </c>
      <c r="E139" s="183"/>
      <c r="F139" s="186" t="str">
        <f>_xlfn.IFERROR('Tabela PW'!AA110,"")</f>
        <v/>
      </c>
      <c r="G139" s="184"/>
      <c r="H139" s="188" t="str">
        <f>_xlfn.IFERROR(INDEX('Tabela PW'!AC:AL,B139+1,'Słownik PW'!$A$26-2009),"")</f>
        <v/>
      </c>
      <c r="I139" s="188"/>
      <c r="J139" s="188" t="str">
        <f>_xlfn.IFERROR(IF('Słownik PW'!$A$26=2010,"",INDEX('Tabela PW'!AC:AL,B139+1,'Słownik PW'!$A$26-2010)),"")</f>
        <v/>
      </c>
      <c r="K139" s="187"/>
      <c r="L139" s="189" t="str">
        <f>_xlfn.IFERROR(IF('Słownik PW'!$A$26=2010,"",H139/J139*100),"")</f>
        <v/>
      </c>
      <c r="M139" s="187"/>
      <c r="N139" s="399"/>
      <c r="O139" s="399"/>
      <c r="P139" s="187"/>
      <c r="Q139" s="189" t="str">
        <f>_xlfn.IFERROR(INDEX('Tabela PW'!AP:AP,B139+1,1),"")</f>
        <v/>
      </c>
      <c r="R139" s="187"/>
      <c r="S139" s="188" t="str">
        <f>IF('Słownik PW'!$A$11=FALSE,"",_xlfn.IFERROR(INDEX('Tabela PW'!$AC:$AI,B139+1,1),""))</f>
        <v/>
      </c>
      <c r="T139" s="188"/>
      <c r="U139" s="188" t="str">
        <f>IF('Słownik PW'!$A$11=FALSE,"",_xlfn.IFERROR(INDEX('Tabela PW'!$AC:$AI,B139+1,2),""))</f>
        <v/>
      </c>
      <c r="V139" s="188"/>
      <c r="W139" s="188" t="str">
        <f>IF('Słownik PW'!$A$11=FALSE,"",_xlfn.IFERROR(INDEX('Tabela PW'!$AC:$AI,B139+1,3),""))</f>
        <v/>
      </c>
      <c r="X139" s="188"/>
      <c r="Y139" s="188" t="str">
        <f>IF('Słownik PW'!$A$11=FALSE,"",_xlfn.IFERROR(INDEX('Tabela PW'!$AC:$AI,B139+1,4),""))</f>
        <v/>
      </c>
      <c r="Z139" s="193"/>
      <c r="AA139" s="188" t="str">
        <f>IF('Słownik PW'!$A$11=FALSE,"",_xlfn.IFERROR(INDEX('Tabela PW'!$AC:$AI,B139+1,5),""))</f>
        <v/>
      </c>
      <c r="AB139" s="191"/>
      <c r="AC139" s="188" t="str">
        <f>IF('Słownik PW'!$A$11=FALSE,"",_xlfn.IFERROR(INDEX('Tabela PW'!$AC:$AI,B139+1,6),""))</f>
        <v/>
      </c>
      <c r="AD139" s="191"/>
      <c r="AE139" s="188" t="str">
        <f>IF('Słownik PW'!$A$11=FALSE,"",_xlfn.IFERROR(INDEX('Tabela PW'!$AC:$AI,B139+1,7),""))</f>
        <v/>
      </c>
      <c r="AF139" s="191"/>
      <c r="AG139" s="188" t="str">
        <f>IF('Słownik PW'!$A$11=FALSE,"",_xlfn.IFERROR(INDEX('Tabela PW'!$AC:$AJ,B139+1,8),""))</f>
        <v/>
      </c>
      <c r="AH139" s="191"/>
      <c r="AI139" s="188" t="str">
        <f>IF('Słownik PW'!$A$11=FALSE,"",_xlfn.IFERROR(INDEX('Tabela PW'!$AC:$AK,B139+1,9),""))</f>
        <v/>
      </c>
      <c r="AJ139" s="191"/>
      <c r="AK139" s="188" t="str">
        <f>IF('Słownik PW'!$A$11=FALSE,"",_xlfn.IFERROR(INDEX('Tabela PW'!$AC:$AL,B139+1,10),""))</f>
        <v/>
      </c>
    </row>
    <row r="140" spans="2:37" s="182" customFormat="1" ht="22.5" customHeight="1">
      <c r="B140" s="184" t="str">
        <f t="shared" si="3"/>
        <v/>
      </c>
      <c r="D140" s="184" t="str">
        <f>_xlfn.IFERROR('Tabela PW'!Z111,"")</f>
        <v/>
      </c>
      <c r="E140" s="183"/>
      <c r="F140" s="186" t="str">
        <f>_xlfn.IFERROR('Tabela PW'!AA111,"")</f>
        <v/>
      </c>
      <c r="G140" s="184"/>
      <c r="H140" s="188" t="str">
        <f>_xlfn.IFERROR(INDEX('Tabela PW'!AC:AL,B140+1,'Słownik PW'!$A$26-2009),"")</f>
        <v/>
      </c>
      <c r="I140" s="188"/>
      <c r="J140" s="188" t="str">
        <f>_xlfn.IFERROR(IF('Słownik PW'!$A$26=2010,"",INDEX('Tabela PW'!AC:AL,B140+1,'Słownik PW'!$A$26-2010)),"")</f>
        <v/>
      </c>
      <c r="K140" s="187"/>
      <c r="L140" s="189" t="str">
        <f>_xlfn.IFERROR(IF('Słownik PW'!$A$26=2010,"",H140/J140*100),"")</f>
        <v/>
      </c>
      <c r="M140" s="187"/>
      <c r="N140" s="399"/>
      <c r="O140" s="399"/>
      <c r="P140" s="187"/>
      <c r="Q140" s="189" t="str">
        <f>_xlfn.IFERROR(INDEX('Tabela PW'!AP:AP,B140+1,1),"")</f>
        <v/>
      </c>
      <c r="R140" s="187"/>
      <c r="S140" s="188" t="str">
        <f>IF('Słownik PW'!$A$11=FALSE,"",_xlfn.IFERROR(INDEX('Tabela PW'!$AC:$AI,B140+1,1),""))</f>
        <v/>
      </c>
      <c r="T140" s="188"/>
      <c r="U140" s="188" t="str">
        <f>IF('Słownik PW'!$A$11=FALSE,"",_xlfn.IFERROR(INDEX('Tabela PW'!$AC:$AI,B140+1,2),""))</f>
        <v/>
      </c>
      <c r="V140" s="188"/>
      <c r="W140" s="188" t="str">
        <f>IF('Słownik PW'!$A$11=FALSE,"",_xlfn.IFERROR(INDEX('Tabela PW'!$AC:$AI,B140+1,3),""))</f>
        <v/>
      </c>
      <c r="X140" s="188"/>
      <c r="Y140" s="188" t="str">
        <f>IF('Słownik PW'!$A$11=FALSE,"",_xlfn.IFERROR(INDEX('Tabela PW'!$AC:$AI,B140+1,4),""))</f>
        <v/>
      </c>
      <c r="Z140" s="193"/>
      <c r="AA140" s="188" t="str">
        <f>IF('Słownik PW'!$A$11=FALSE,"",_xlfn.IFERROR(INDEX('Tabela PW'!$AC:$AI,B140+1,5),""))</f>
        <v/>
      </c>
      <c r="AB140" s="191"/>
      <c r="AC140" s="188" t="str">
        <f>IF('Słownik PW'!$A$11=FALSE,"",_xlfn.IFERROR(INDEX('Tabela PW'!$AC:$AI,B140+1,6),""))</f>
        <v/>
      </c>
      <c r="AD140" s="191"/>
      <c r="AE140" s="188" t="str">
        <f>IF('Słownik PW'!$A$11=FALSE,"",_xlfn.IFERROR(INDEX('Tabela PW'!$AC:$AI,B140+1,7),""))</f>
        <v/>
      </c>
      <c r="AF140" s="191"/>
      <c r="AG140" s="188" t="str">
        <f>IF('Słownik PW'!$A$11=FALSE,"",_xlfn.IFERROR(INDEX('Tabela PW'!$AC:$AJ,B140+1,8),""))</f>
        <v/>
      </c>
      <c r="AH140" s="191"/>
      <c r="AI140" s="188" t="str">
        <f>IF('Słownik PW'!$A$11=FALSE,"",_xlfn.IFERROR(INDEX('Tabela PW'!$AC:$AK,B140+1,9),""))</f>
        <v/>
      </c>
      <c r="AJ140" s="191"/>
      <c r="AK140" s="188" t="str">
        <f>IF('Słownik PW'!$A$11=FALSE,"",_xlfn.IFERROR(INDEX('Tabela PW'!$AC:$AL,B140+1,10),""))</f>
        <v/>
      </c>
    </row>
    <row r="141" spans="2:37" s="182" customFormat="1" ht="22.5" customHeight="1">
      <c r="B141" s="184" t="str">
        <f t="shared" si="3"/>
        <v/>
      </c>
      <c r="D141" s="184" t="str">
        <f>_xlfn.IFERROR('Tabela PW'!Z112,"")</f>
        <v/>
      </c>
      <c r="E141" s="183"/>
      <c r="F141" s="186" t="str">
        <f>_xlfn.IFERROR('Tabela PW'!AA112,"")</f>
        <v/>
      </c>
      <c r="G141" s="184"/>
      <c r="H141" s="188" t="str">
        <f>_xlfn.IFERROR(INDEX('Tabela PW'!AC:AL,B141+1,'Słownik PW'!$A$26-2009),"")</f>
        <v/>
      </c>
      <c r="I141" s="188"/>
      <c r="J141" s="188" t="str">
        <f>_xlfn.IFERROR(IF('Słownik PW'!$A$26=2010,"",INDEX('Tabela PW'!AC:AL,B141+1,'Słownik PW'!$A$26-2010)),"")</f>
        <v/>
      </c>
      <c r="K141" s="187"/>
      <c r="L141" s="189" t="str">
        <f>_xlfn.IFERROR(IF('Słownik PW'!$A$26=2010,"",H141/J141*100),"")</f>
        <v/>
      </c>
      <c r="M141" s="187"/>
      <c r="N141" s="399"/>
      <c r="O141" s="399"/>
      <c r="P141" s="187"/>
      <c r="Q141" s="189" t="str">
        <f>_xlfn.IFERROR(INDEX('Tabela PW'!AP:AP,B141+1,1),"")</f>
        <v/>
      </c>
      <c r="R141" s="187"/>
      <c r="S141" s="188" t="str">
        <f>IF('Słownik PW'!$A$11=FALSE,"",_xlfn.IFERROR(INDEX('Tabela PW'!$AC:$AI,B141+1,1),""))</f>
        <v/>
      </c>
      <c r="T141" s="188"/>
      <c r="U141" s="188" t="str">
        <f>IF('Słownik PW'!$A$11=FALSE,"",_xlfn.IFERROR(INDEX('Tabela PW'!$AC:$AI,B141+1,2),""))</f>
        <v/>
      </c>
      <c r="V141" s="188"/>
      <c r="W141" s="188" t="str">
        <f>IF('Słownik PW'!$A$11=FALSE,"",_xlfn.IFERROR(INDEX('Tabela PW'!$AC:$AI,B141+1,3),""))</f>
        <v/>
      </c>
      <c r="X141" s="188"/>
      <c r="Y141" s="188" t="str">
        <f>IF('Słownik PW'!$A$11=FALSE,"",_xlfn.IFERROR(INDEX('Tabela PW'!$AC:$AI,B141+1,4),""))</f>
        <v/>
      </c>
      <c r="Z141" s="193"/>
      <c r="AA141" s="188" t="str">
        <f>IF('Słownik PW'!$A$11=FALSE,"",_xlfn.IFERROR(INDEX('Tabela PW'!$AC:$AI,B141+1,5),""))</f>
        <v/>
      </c>
      <c r="AB141" s="191"/>
      <c r="AC141" s="188" t="str">
        <f>IF('Słownik PW'!$A$11=FALSE,"",_xlfn.IFERROR(INDEX('Tabela PW'!$AC:$AI,B141+1,6),""))</f>
        <v/>
      </c>
      <c r="AD141" s="191"/>
      <c r="AE141" s="188" t="str">
        <f>IF('Słownik PW'!$A$11=FALSE,"",_xlfn.IFERROR(INDEX('Tabela PW'!$AC:$AI,B141+1,7),""))</f>
        <v/>
      </c>
      <c r="AF141" s="191"/>
      <c r="AG141" s="188" t="str">
        <f>IF('Słownik PW'!$A$11=FALSE,"",_xlfn.IFERROR(INDEX('Tabela PW'!$AC:$AJ,B141+1,8),""))</f>
        <v/>
      </c>
      <c r="AH141" s="191"/>
      <c r="AI141" s="188" t="str">
        <f>IF('Słownik PW'!$A$11=FALSE,"",_xlfn.IFERROR(INDEX('Tabela PW'!$AC:$AK,B141+1,9),""))</f>
        <v/>
      </c>
      <c r="AJ141" s="191"/>
      <c r="AK141" s="188" t="str">
        <f>IF('Słownik PW'!$A$11=FALSE,"",_xlfn.IFERROR(INDEX('Tabela PW'!$AC:$AL,B141+1,10),""))</f>
        <v/>
      </c>
    </row>
    <row r="142" spans="2:37" s="182" customFormat="1" ht="22.5" customHeight="1">
      <c r="B142" s="184" t="str">
        <f t="shared" si="3"/>
        <v/>
      </c>
      <c r="D142" s="184" t="str">
        <f>_xlfn.IFERROR('Tabela PW'!Z113,"")</f>
        <v/>
      </c>
      <c r="E142" s="183"/>
      <c r="F142" s="186" t="str">
        <f>_xlfn.IFERROR('Tabela PW'!AA113,"")</f>
        <v/>
      </c>
      <c r="G142" s="184"/>
      <c r="H142" s="188" t="str">
        <f>_xlfn.IFERROR(INDEX('Tabela PW'!AC:AL,B142+1,'Słownik PW'!$A$26-2009),"")</f>
        <v/>
      </c>
      <c r="I142" s="188"/>
      <c r="J142" s="188" t="str">
        <f>_xlfn.IFERROR(IF('Słownik PW'!$A$26=2010,"",INDEX('Tabela PW'!AC:AL,B142+1,'Słownik PW'!$A$26-2010)),"")</f>
        <v/>
      </c>
      <c r="K142" s="187"/>
      <c r="L142" s="189" t="str">
        <f>_xlfn.IFERROR(IF('Słownik PW'!$A$26=2010,"",H142/J142*100),"")</f>
        <v/>
      </c>
      <c r="M142" s="187"/>
      <c r="N142" s="399"/>
      <c r="O142" s="399"/>
      <c r="P142" s="187"/>
      <c r="Q142" s="189" t="str">
        <f>_xlfn.IFERROR(INDEX('Tabela PW'!AP:AP,B142+1,1),"")</f>
        <v/>
      </c>
      <c r="R142" s="187"/>
      <c r="S142" s="188" t="str">
        <f>IF('Słownik PW'!$A$11=FALSE,"",_xlfn.IFERROR(INDEX('Tabela PW'!$AC:$AI,B142+1,1),""))</f>
        <v/>
      </c>
      <c r="T142" s="188"/>
      <c r="U142" s="188" t="str">
        <f>IF('Słownik PW'!$A$11=FALSE,"",_xlfn.IFERROR(INDEX('Tabela PW'!$AC:$AI,B142+1,2),""))</f>
        <v/>
      </c>
      <c r="V142" s="188"/>
      <c r="W142" s="188" t="str">
        <f>IF('Słownik PW'!$A$11=FALSE,"",_xlfn.IFERROR(INDEX('Tabela PW'!$AC:$AI,B142+1,3),""))</f>
        <v/>
      </c>
      <c r="X142" s="188"/>
      <c r="Y142" s="188" t="str">
        <f>IF('Słownik PW'!$A$11=FALSE,"",_xlfn.IFERROR(INDEX('Tabela PW'!$AC:$AI,B142+1,4),""))</f>
        <v/>
      </c>
      <c r="Z142" s="193"/>
      <c r="AA142" s="188" t="str">
        <f>IF('Słownik PW'!$A$11=FALSE,"",_xlfn.IFERROR(INDEX('Tabela PW'!$AC:$AI,B142+1,5),""))</f>
        <v/>
      </c>
      <c r="AB142" s="191"/>
      <c r="AC142" s="188" t="str">
        <f>IF('Słownik PW'!$A$11=FALSE,"",_xlfn.IFERROR(INDEX('Tabela PW'!$AC:$AI,B142+1,6),""))</f>
        <v/>
      </c>
      <c r="AD142" s="191"/>
      <c r="AE142" s="188" t="str">
        <f>IF('Słownik PW'!$A$11=FALSE,"",_xlfn.IFERROR(INDEX('Tabela PW'!$AC:$AI,B142+1,7),""))</f>
        <v/>
      </c>
      <c r="AF142" s="191"/>
      <c r="AG142" s="188" t="str">
        <f>IF('Słownik PW'!$A$11=FALSE,"",_xlfn.IFERROR(INDEX('Tabela PW'!$AC:$AJ,B142+1,8),""))</f>
        <v/>
      </c>
      <c r="AH142" s="191"/>
      <c r="AI142" s="188" t="str">
        <f>IF('Słownik PW'!$A$11=FALSE,"",_xlfn.IFERROR(INDEX('Tabela PW'!$AC:$AK,B142+1,9),""))</f>
        <v/>
      </c>
      <c r="AJ142" s="191"/>
      <c r="AK142" s="188" t="str">
        <f>IF('Słownik PW'!$A$11=FALSE,"",_xlfn.IFERROR(INDEX('Tabela PW'!$AC:$AL,B142+1,10),""))</f>
        <v/>
      </c>
    </row>
    <row r="143" spans="2:37" s="182" customFormat="1" ht="22.5" customHeight="1">
      <c r="B143" s="184" t="str">
        <f t="shared" si="3"/>
        <v/>
      </c>
      <c r="D143" s="184" t="str">
        <f>_xlfn.IFERROR('Tabela PW'!Z114,"")</f>
        <v/>
      </c>
      <c r="E143" s="183"/>
      <c r="F143" s="186" t="str">
        <f>_xlfn.IFERROR('Tabela PW'!AA114,"")</f>
        <v/>
      </c>
      <c r="G143" s="184"/>
      <c r="H143" s="188" t="str">
        <f>_xlfn.IFERROR(INDEX('Tabela PW'!AC:AL,B143+1,'Słownik PW'!$A$26-2009),"")</f>
        <v/>
      </c>
      <c r="I143" s="188"/>
      <c r="J143" s="188" t="str">
        <f>_xlfn.IFERROR(IF('Słownik PW'!$A$26=2010,"",INDEX('Tabela PW'!AC:AL,B143+1,'Słownik PW'!$A$26-2010)),"")</f>
        <v/>
      </c>
      <c r="K143" s="187"/>
      <c r="L143" s="189" t="str">
        <f>_xlfn.IFERROR(IF('Słownik PW'!$A$26=2010,"",H143/J143*100),"")</f>
        <v/>
      </c>
      <c r="M143" s="187"/>
      <c r="N143" s="399"/>
      <c r="O143" s="399"/>
      <c r="P143" s="187"/>
      <c r="Q143" s="189" t="str">
        <f>_xlfn.IFERROR(INDEX('Tabela PW'!AP:AP,B143+1,1),"")</f>
        <v/>
      </c>
      <c r="R143" s="187"/>
      <c r="S143" s="188" t="str">
        <f>IF('Słownik PW'!$A$11=FALSE,"",_xlfn.IFERROR(INDEX('Tabela PW'!$AC:$AI,B143+1,1),""))</f>
        <v/>
      </c>
      <c r="T143" s="188"/>
      <c r="U143" s="188" t="str">
        <f>IF('Słownik PW'!$A$11=FALSE,"",_xlfn.IFERROR(INDEX('Tabela PW'!$AC:$AI,B143+1,2),""))</f>
        <v/>
      </c>
      <c r="V143" s="188"/>
      <c r="W143" s="188" t="str">
        <f>IF('Słownik PW'!$A$11=FALSE,"",_xlfn.IFERROR(INDEX('Tabela PW'!$AC:$AI,B143+1,3),""))</f>
        <v/>
      </c>
      <c r="X143" s="188"/>
      <c r="Y143" s="188" t="str">
        <f>IF('Słownik PW'!$A$11=FALSE,"",_xlfn.IFERROR(INDEX('Tabela PW'!$AC:$AI,B143+1,4),""))</f>
        <v/>
      </c>
      <c r="Z143" s="193"/>
      <c r="AA143" s="188" t="str">
        <f>IF('Słownik PW'!$A$11=FALSE,"",_xlfn.IFERROR(INDEX('Tabela PW'!$AC:$AI,B143+1,5),""))</f>
        <v/>
      </c>
      <c r="AB143" s="191"/>
      <c r="AC143" s="188" t="str">
        <f>IF('Słownik PW'!$A$11=FALSE,"",_xlfn.IFERROR(INDEX('Tabela PW'!$AC:$AI,B143+1,6),""))</f>
        <v/>
      </c>
      <c r="AD143" s="191"/>
      <c r="AE143" s="188" t="str">
        <f>IF('Słownik PW'!$A$11=FALSE,"",_xlfn.IFERROR(INDEX('Tabela PW'!$AC:$AI,B143+1,7),""))</f>
        <v/>
      </c>
      <c r="AF143" s="191"/>
      <c r="AG143" s="188" t="str">
        <f>IF('Słownik PW'!$A$11=FALSE,"",_xlfn.IFERROR(INDEX('Tabela PW'!$AC:$AJ,B143+1,8),""))</f>
        <v/>
      </c>
      <c r="AH143" s="191"/>
      <c r="AI143" s="188" t="str">
        <f>IF('Słownik PW'!$A$11=FALSE,"",_xlfn.IFERROR(INDEX('Tabela PW'!$AC:$AK,B143+1,9),""))</f>
        <v/>
      </c>
      <c r="AJ143" s="191"/>
      <c r="AK143" s="188" t="str">
        <f>IF('Słownik PW'!$A$11=FALSE,"",_xlfn.IFERROR(INDEX('Tabela PW'!$AC:$AL,B143+1,10),""))</f>
        <v/>
      </c>
    </row>
    <row r="144" spans="2:37" s="182" customFormat="1" ht="22.5" customHeight="1">
      <c r="B144" s="184" t="str">
        <f t="shared" si="3"/>
        <v/>
      </c>
      <c r="D144" s="184" t="str">
        <f>_xlfn.IFERROR('Tabela PW'!Z115,"")</f>
        <v/>
      </c>
      <c r="E144" s="183"/>
      <c r="F144" s="186" t="str">
        <f>_xlfn.IFERROR('Tabela PW'!AA115,"")</f>
        <v/>
      </c>
      <c r="G144" s="184"/>
      <c r="H144" s="188" t="str">
        <f>_xlfn.IFERROR(INDEX('Tabela PW'!AC:AL,B144+1,'Słownik PW'!$A$26-2009),"")</f>
        <v/>
      </c>
      <c r="I144" s="188"/>
      <c r="J144" s="188" t="str">
        <f>_xlfn.IFERROR(IF('Słownik PW'!$A$26=2010,"",INDEX('Tabela PW'!AC:AL,B144+1,'Słownik PW'!$A$26-2010)),"")</f>
        <v/>
      </c>
      <c r="K144" s="187"/>
      <c r="L144" s="189" t="str">
        <f>_xlfn.IFERROR(IF('Słownik PW'!$A$26=2010,"",H144/J144*100),"")</f>
        <v/>
      </c>
      <c r="M144" s="187"/>
      <c r="N144" s="399"/>
      <c r="O144" s="399"/>
      <c r="P144" s="187"/>
      <c r="Q144" s="189" t="str">
        <f>_xlfn.IFERROR(INDEX('Tabela PW'!AP:AP,B144+1,1),"")</f>
        <v/>
      </c>
      <c r="R144" s="187"/>
      <c r="S144" s="188" t="str">
        <f>IF('Słownik PW'!$A$11=FALSE,"",_xlfn.IFERROR(INDEX('Tabela PW'!$AC:$AI,B144+1,1),""))</f>
        <v/>
      </c>
      <c r="T144" s="188"/>
      <c r="U144" s="188" t="str">
        <f>IF('Słownik PW'!$A$11=FALSE,"",_xlfn.IFERROR(INDEX('Tabela PW'!$AC:$AI,B144+1,2),""))</f>
        <v/>
      </c>
      <c r="V144" s="188"/>
      <c r="W144" s="188" t="str">
        <f>IF('Słownik PW'!$A$11=FALSE,"",_xlfn.IFERROR(INDEX('Tabela PW'!$AC:$AI,B144+1,3),""))</f>
        <v/>
      </c>
      <c r="X144" s="188"/>
      <c r="Y144" s="188" t="str">
        <f>IF('Słownik PW'!$A$11=FALSE,"",_xlfn.IFERROR(INDEX('Tabela PW'!$AC:$AI,B144+1,4),""))</f>
        <v/>
      </c>
      <c r="Z144" s="193"/>
      <c r="AA144" s="188" t="str">
        <f>IF('Słownik PW'!$A$11=FALSE,"",_xlfn.IFERROR(INDEX('Tabela PW'!$AC:$AI,B144+1,5),""))</f>
        <v/>
      </c>
      <c r="AB144" s="191"/>
      <c r="AC144" s="188" t="str">
        <f>IF('Słownik PW'!$A$11=FALSE,"",_xlfn.IFERROR(INDEX('Tabela PW'!$AC:$AI,B144+1,6),""))</f>
        <v/>
      </c>
      <c r="AD144" s="191"/>
      <c r="AE144" s="188" t="str">
        <f>IF('Słownik PW'!$A$11=FALSE,"",_xlfn.IFERROR(INDEX('Tabela PW'!$AC:$AI,B144+1,7),""))</f>
        <v/>
      </c>
      <c r="AF144" s="191"/>
      <c r="AG144" s="188" t="str">
        <f>IF('Słownik PW'!$A$11=FALSE,"",_xlfn.IFERROR(INDEX('Tabela PW'!$AC:$AJ,B144+1,8),""))</f>
        <v/>
      </c>
      <c r="AH144" s="191"/>
      <c r="AI144" s="188" t="str">
        <f>IF('Słownik PW'!$A$11=FALSE,"",_xlfn.IFERROR(INDEX('Tabela PW'!$AC:$AK,B144+1,9),""))</f>
        <v/>
      </c>
      <c r="AJ144" s="191"/>
      <c r="AK144" s="188" t="str">
        <f>IF('Słownik PW'!$A$11=FALSE,"",_xlfn.IFERROR(INDEX('Tabela PW'!$AC:$AL,B144+1,10),""))</f>
        <v/>
      </c>
    </row>
    <row r="145" spans="2:37" s="182" customFormat="1" ht="22.5" customHeight="1">
      <c r="B145" s="184" t="str">
        <f t="shared" si="3"/>
        <v/>
      </c>
      <c r="D145" s="184" t="str">
        <f>_xlfn.IFERROR('Tabela PW'!Z116,"")</f>
        <v/>
      </c>
      <c r="E145" s="183"/>
      <c r="F145" s="186" t="str">
        <f>_xlfn.IFERROR('Tabela PW'!AA116,"")</f>
        <v/>
      </c>
      <c r="G145" s="184"/>
      <c r="H145" s="188" t="str">
        <f>_xlfn.IFERROR(INDEX('Tabela PW'!AC:AL,B145+1,'Słownik PW'!$A$26-2009),"")</f>
        <v/>
      </c>
      <c r="I145" s="188"/>
      <c r="J145" s="188" t="str">
        <f>_xlfn.IFERROR(IF('Słownik PW'!$A$26=2010,"",INDEX('Tabela PW'!AC:AL,B145+1,'Słownik PW'!$A$26-2010)),"")</f>
        <v/>
      </c>
      <c r="K145" s="187"/>
      <c r="L145" s="189" t="str">
        <f>_xlfn.IFERROR(IF('Słownik PW'!$A$26=2010,"",H145/J145*100),"")</f>
        <v/>
      </c>
      <c r="M145" s="187"/>
      <c r="N145" s="399"/>
      <c r="O145" s="399"/>
      <c r="P145" s="187"/>
      <c r="Q145" s="189" t="str">
        <f>_xlfn.IFERROR(INDEX('Tabela PW'!AP:AP,B145+1,1),"")</f>
        <v/>
      </c>
      <c r="R145" s="187"/>
      <c r="S145" s="188" t="str">
        <f>IF('Słownik PW'!$A$11=FALSE,"",_xlfn.IFERROR(INDEX('Tabela PW'!$AC:$AI,B145+1,1),""))</f>
        <v/>
      </c>
      <c r="T145" s="188"/>
      <c r="U145" s="188" t="str">
        <f>IF('Słownik PW'!$A$11=FALSE,"",_xlfn.IFERROR(INDEX('Tabela PW'!$AC:$AI,B145+1,2),""))</f>
        <v/>
      </c>
      <c r="V145" s="188"/>
      <c r="W145" s="188" t="str">
        <f>IF('Słownik PW'!$A$11=FALSE,"",_xlfn.IFERROR(INDEX('Tabela PW'!$AC:$AI,B145+1,3),""))</f>
        <v/>
      </c>
      <c r="X145" s="188"/>
      <c r="Y145" s="188" t="str">
        <f>IF('Słownik PW'!$A$11=FALSE,"",_xlfn.IFERROR(INDEX('Tabela PW'!$AC:$AI,B145+1,4),""))</f>
        <v/>
      </c>
      <c r="Z145" s="193"/>
      <c r="AA145" s="188" t="str">
        <f>IF('Słownik PW'!$A$11=FALSE,"",_xlfn.IFERROR(INDEX('Tabela PW'!$AC:$AI,B145+1,5),""))</f>
        <v/>
      </c>
      <c r="AB145" s="191"/>
      <c r="AC145" s="188" t="str">
        <f>IF('Słownik PW'!$A$11=FALSE,"",_xlfn.IFERROR(INDEX('Tabela PW'!$AC:$AI,B145+1,6),""))</f>
        <v/>
      </c>
      <c r="AD145" s="191"/>
      <c r="AE145" s="188" t="str">
        <f>IF('Słownik PW'!$A$11=FALSE,"",_xlfn.IFERROR(INDEX('Tabela PW'!$AC:$AI,B145+1,7),""))</f>
        <v/>
      </c>
      <c r="AF145" s="191"/>
      <c r="AG145" s="188" t="str">
        <f>IF('Słownik PW'!$A$11=FALSE,"",_xlfn.IFERROR(INDEX('Tabela PW'!$AC:$AJ,B145+1,8),""))</f>
        <v/>
      </c>
      <c r="AH145" s="191"/>
      <c r="AI145" s="188" t="str">
        <f>IF('Słownik PW'!$A$11=FALSE,"",_xlfn.IFERROR(INDEX('Tabela PW'!$AC:$AK,B145+1,9),""))</f>
        <v/>
      </c>
      <c r="AJ145" s="191"/>
      <c r="AK145" s="188" t="str">
        <f>IF('Słownik PW'!$A$11=FALSE,"",_xlfn.IFERROR(INDEX('Tabela PW'!$AC:$AL,B145+1,10),""))</f>
        <v/>
      </c>
    </row>
    <row r="146" spans="2:37" s="182" customFormat="1" ht="22.5" customHeight="1">
      <c r="B146" s="184" t="str">
        <f t="shared" si="3"/>
        <v/>
      </c>
      <c r="D146" s="184" t="str">
        <f>_xlfn.IFERROR('Tabela PW'!Z117,"")</f>
        <v/>
      </c>
      <c r="E146" s="183"/>
      <c r="F146" s="186" t="str">
        <f>_xlfn.IFERROR('Tabela PW'!AA117,"")</f>
        <v/>
      </c>
      <c r="G146" s="184"/>
      <c r="H146" s="188" t="str">
        <f>_xlfn.IFERROR(INDEX('Tabela PW'!AC:AL,B146+1,'Słownik PW'!$A$26-2009),"")</f>
        <v/>
      </c>
      <c r="I146" s="188"/>
      <c r="J146" s="188" t="str">
        <f>_xlfn.IFERROR(IF('Słownik PW'!$A$26=2010,"",INDEX('Tabela PW'!AC:AL,B146+1,'Słownik PW'!$A$26-2010)),"")</f>
        <v/>
      </c>
      <c r="K146" s="187"/>
      <c r="L146" s="189" t="str">
        <f>_xlfn.IFERROR(IF('Słownik PW'!$A$26=2010,"",H146/J146*100),"")</f>
        <v/>
      </c>
      <c r="M146" s="187"/>
      <c r="N146" s="399"/>
      <c r="O146" s="399"/>
      <c r="P146" s="187"/>
      <c r="Q146" s="189" t="str">
        <f>_xlfn.IFERROR(INDEX('Tabela PW'!AP:AP,B146+1,1),"")</f>
        <v/>
      </c>
      <c r="R146" s="187"/>
      <c r="S146" s="188" t="str">
        <f>IF('Słownik PW'!$A$11=FALSE,"",_xlfn.IFERROR(INDEX('Tabela PW'!$AC:$AI,B146+1,1),""))</f>
        <v/>
      </c>
      <c r="T146" s="188"/>
      <c r="U146" s="188" t="str">
        <f>IF('Słownik PW'!$A$11=FALSE,"",_xlfn.IFERROR(INDEX('Tabela PW'!$AC:$AI,B146+1,2),""))</f>
        <v/>
      </c>
      <c r="V146" s="188"/>
      <c r="W146" s="188" t="str">
        <f>IF('Słownik PW'!$A$11=FALSE,"",_xlfn.IFERROR(INDEX('Tabela PW'!$AC:$AI,B146+1,3),""))</f>
        <v/>
      </c>
      <c r="X146" s="188"/>
      <c r="Y146" s="188" t="str">
        <f>IF('Słownik PW'!$A$11=FALSE,"",_xlfn.IFERROR(INDEX('Tabela PW'!$AC:$AI,B146+1,4),""))</f>
        <v/>
      </c>
      <c r="Z146" s="193"/>
      <c r="AA146" s="188" t="str">
        <f>IF('Słownik PW'!$A$11=FALSE,"",_xlfn.IFERROR(INDEX('Tabela PW'!$AC:$AI,B146+1,5),""))</f>
        <v/>
      </c>
      <c r="AB146" s="191"/>
      <c r="AC146" s="188" t="str">
        <f>IF('Słownik PW'!$A$11=FALSE,"",_xlfn.IFERROR(INDEX('Tabela PW'!$AC:$AI,B146+1,6),""))</f>
        <v/>
      </c>
      <c r="AD146" s="191"/>
      <c r="AE146" s="188" t="str">
        <f>IF('Słownik PW'!$A$11=FALSE,"",_xlfn.IFERROR(INDEX('Tabela PW'!$AC:$AI,B146+1,7),""))</f>
        <v/>
      </c>
      <c r="AF146" s="191"/>
      <c r="AG146" s="188" t="str">
        <f>IF('Słownik PW'!$A$11=FALSE,"",_xlfn.IFERROR(INDEX('Tabela PW'!$AC:$AJ,B146+1,8),""))</f>
        <v/>
      </c>
      <c r="AH146" s="191"/>
      <c r="AI146" s="188" t="str">
        <f>IF('Słownik PW'!$A$11=FALSE,"",_xlfn.IFERROR(INDEX('Tabela PW'!$AC:$AK,B146+1,9),""))</f>
        <v/>
      </c>
      <c r="AJ146" s="191"/>
      <c r="AK146" s="188" t="str">
        <f>IF('Słownik PW'!$A$11=FALSE,"",_xlfn.IFERROR(INDEX('Tabela PW'!$AC:$AL,B146+1,10),""))</f>
        <v/>
      </c>
    </row>
    <row r="147" spans="2:37" s="182" customFormat="1" ht="22.5" customHeight="1">
      <c r="B147" s="184" t="str">
        <f t="shared" si="3"/>
        <v/>
      </c>
      <c r="D147" s="184" t="str">
        <f>_xlfn.IFERROR('Tabela PW'!Z118,"")</f>
        <v/>
      </c>
      <c r="E147" s="183"/>
      <c r="F147" s="186" t="str">
        <f>_xlfn.IFERROR('Tabela PW'!AA118,"")</f>
        <v/>
      </c>
      <c r="G147" s="184"/>
      <c r="H147" s="188" t="str">
        <f>_xlfn.IFERROR(INDEX('Tabela PW'!AC:AL,B147+1,'Słownik PW'!$A$26-2009),"")</f>
        <v/>
      </c>
      <c r="I147" s="188"/>
      <c r="J147" s="188" t="str">
        <f>_xlfn.IFERROR(IF('Słownik PW'!$A$26=2010,"",INDEX('Tabela PW'!AC:AL,B147+1,'Słownik PW'!$A$26-2010)),"")</f>
        <v/>
      </c>
      <c r="K147" s="187"/>
      <c r="L147" s="189" t="str">
        <f>_xlfn.IFERROR(IF('Słownik PW'!$A$26=2010,"",H147/J147*100),"")</f>
        <v/>
      </c>
      <c r="M147" s="187"/>
      <c r="N147" s="399"/>
      <c r="O147" s="399"/>
      <c r="P147" s="187"/>
      <c r="Q147" s="189" t="str">
        <f>_xlfn.IFERROR(INDEX('Tabela PW'!AP:AP,B147+1,1),"")</f>
        <v/>
      </c>
      <c r="R147" s="187"/>
      <c r="S147" s="188" t="str">
        <f>IF('Słownik PW'!$A$11=FALSE,"",_xlfn.IFERROR(INDEX('Tabela PW'!$AC:$AI,B147+1,1),""))</f>
        <v/>
      </c>
      <c r="T147" s="188"/>
      <c r="U147" s="188" t="str">
        <f>IF('Słownik PW'!$A$11=FALSE,"",_xlfn.IFERROR(INDEX('Tabela PW'!$AC:$AI,B147+1,2),""))</f>
        <v/>
      </c>
      <c r="V147" s="188"/>
      <c r="W147" s="188" t="str">
        <f>IF('Słownik PW'!$A$11=FALSE,"",_xlfn.IFERROR(INDEX('Tabela PW'!$AC:$AI,B147+1,3),""))</f>
        <v/>
      </c>
      <c r="X147" s="188"/>
      <c r="Y147" s="188" t="str">
        <f>IF('Słownik PW'!$A$11=FALSE,"",_xlfn.IFERROR(INDEX('Tabela PW'!$AC:$AI,B147+1,4),""))</f>
        <v/>
      </c>
      <c r="Z147" s="193"/>
      <c r="AA147" s="188" t="str">
        <f>IF('Słownik PW'!$A$11=FALSE,"",_xlfn.IFERROR(INDEX('Tabela PW'!$AC:$AI,B147+1,5),""))</f>
        <v/>
      </c>
      <c r="AB147" s="191"/>
      <c r="AC147" s="188" t="str">
        <f>IF('Słownik PW'!$A$11=FALSE,"",_xlfn.IFERROR(INDEX('Tabela PW'!$AC:$AI,B147+1,6),""))</f>
        <v/>
      </c>
      <c r="AD147" s="191"/>
      <c r="AE147" s="188" t="str">
        <f>IF('Słownik PW'!$A$11=FALSE,"",_xlfn.IFERROR(INDEX('Tabela PW'!$AC:$AI,B147+1,7),""))</f>
        <v/>
      </c>
      <c r="AF147" s="191"/>
      <c r="AG147" s="188" t="str">
        <f>IF('Słownik PW'!$A$11=FALSE,"",_xlfn.IFERROR(INDEX('Tabela PW'!$AC:$AJ,B147+1,8),""))</f>
        <v/>
      </c>
      <c r="AH147" s="191"/>
      <c r="AI147" s="188" t="str">
        <f>IF('Słownik PW'!$A$11=FALSE,"",_xlfn.IFERROR(INDEX('Tabela PW'!$AC:$AK,B147+1,9),""))</f>
        <v/>
      </c>
      <c r="AJ147" s="191"/>
      <c r="AK147" s="188" t="str">
        <f>IF('Słownik PW'!$A$11=FALSE,"",_xlfn.IFERROR(INDEX('Tabela PW'!$AC:$AL,B147+1,10),""))</f>
        <v/>
      </c>
    </row>
    <row r="148" spans="2:37" s="182" customFormat="1" ht="22.5" customHeight="1">
      <c r="B148" s="184" t="str">
        <f t="shared" si="3"/>
        <v/>
      </c>
      <c r="D148" s="184" t="str">
        <f>_xlfn.IFERROR('Tabela PW'!Z119,"")</f>
        <v/>
      </c>
      <c r="E148" s="183"/>
      <c r="F148" s="186" t="str">
        <f>_xlfn.IFERROR('Tabela PW'!AA119,"")</f>
        <v/>
      </c>
      <c r="G148" s="184"/>
      <c r="H148" s="364" t="str">
        <f>_xlfn.IFERROR(INDEX('Tabela PW'!AC:AL,B148+1,'Słownik PW'!$A$26-2009),"")</f>
        <v/>
      </c>
      <c r="I148" s="188"/>
      <c r="J148" s="364" t="str">
        <f>_xlfn.IFERROR(IF('Słownik PW'!$A$26=2010,"",INDEX('Tabela PW'!AC:AL,B148+1,'Słownik PW'!$A$26-2010)),"")</f>
        <v/>
      </c>
      <c r="K148" s="187"/>
      <c r="L148" s="189" t="str">
        <f>_xlfn.IFERROR(IF('Słownik PW'!$A$26=2010,"",H148/J148*100),"")</f>
        <v/>
      </c>
      <c r="M148" s="187"/>
      <c r="N148" s="399"/>
      <c r="O148" s="399"/>
      <c r="P148" s="187"/>
      <c r="Q148" s="189" t="str">
        <f>_xlfn.IFERROR(INDEX('Tabela PW'!AP:AP,B148+1,1),"")</f>
        <v/>
      </c>
      <c r="R148" s="187"/>
      <c r="S148" s="188" t="str">
        <f>IF('Słownik PW'!$A$11=FALSE,"",_xlfn.IFERROR(INDEX('Tabela PW'!$AC:$AI,B148+1,1),""))</f>
        <v/>
      </c>
      <c r="T148" s="188"/>
      <c r="U148" s="188" t="str">
        <f>IF('Słownik PW'!$A$11=FALSE,"",_xlfn.IFERROR(INDEX('Tabela PW'!$AC:$AI,B148+1,2),""))</f>
        <v/>
      </c>
      <c r="V148" s="188"/>
      <c r="W148" s="188" t="str">
        <f>IF('Słownik PW'!$A$11=FALSE,"",_xlfn.IFERROR(INDEX('Tabela PW'!$AC:$AI,B148+1,3),""))</f>
        <v/>
      </c>
      <c r="X148" s="188"/>
      <c r="Y148" s="188" t="str">
        <f>IF('Słownik PW'!$A$11=FALSE,"",_xlfn.IFERROR(INDEX('Tabela PW'!$AC:$AI,B148+1,4),""))</f>
        <v/>
      </c>
      <c r="Z148" s="193"/>
      <c r="AA148" s="188" t="str">
        <f>IF('Słownik PW'!$A$11=FALSE,"",_xlfn.IFERROR(INDEX('Tabela PW'!$AC:$AI,B148+1,5),""))</f>
        <v/>
      </c>
      <c r="AB148" s="191"/>
      <c r="AC148" s="188" t="str">
        <f>IF('Słownik PW'!$A$11=FALSE,"",_xlfn.IFERROR(INDEX('Tabela PW'!$AC:$AI,B148+1,6),""))</f>
        <v/>
      </c>
      <c r="AD148" s="191"/>
      <c r="AE148" s="188" t="str">
        <f>IF('Słownik PW'!$A$11=FALSE,"",_xlfn.IFERROR(INDEX('Tabela PW'!$AC:$AI,B148+1,7),""))</f>
        <v/>
      </c>
      <c r="AF148" s="191"/>
      <c r="AG148" s="188" t="str">
        <f>IF('Słownik PW'!$A$11=FALSE,"",_xlfn.IFERROR(INDEX('Tabela PW'!$AC:$AJ,B148+1,8),""))</f>
        <v/>
      </c>
      <c r="AH148" s="191"/>
      <c r="AI148" s="188" t="str">
        <f>IF('Słownik PW'!$A$11=FALSE,"",_xlfn.IFERROR(INDEX('Tabela PW'!$AC:$AK,B148+1,9),""))</f>
        <v/>
      </c>
      <c r="AJ148" s="191"/>
      <c r="AK148" s="188" t="str">
        <f>IF('Słownik PW'!$A$11=FALSE,"",_xlfn.IFERROR(INDEX('Tabela PW'!$AC:$AL,B148+1,10),""))</f>
        <v/>
      </c>
    </row>
    <row r="149" spans="6:37" s="182" customFormat="1" ht="22.5" customHeight="1">
      <c r="F149" s="185"/>
      <c r="H149" s="185"/>
      <c r="I149" s="185"/>
      <c r="J149" s="185"/>
      <c r="L149" s="185"/>
      <c r="S149" s="185"/>
      <c r="T149" s="185"/>
      <c r="U149" s="185"/>
      <c r="V149" s="185"/>
      <c r="W149" s="185"/>
      <c r="X149" s="185"/>
      <c r="Y149" s="185"/>
      <c r="Z149" s="185"/>
      <c r="AA149" s="185"/>
      <c r="AB149" s="185"/>
      <c r="AC149" s="185"/>
      <c r="AD149" s="185"/>
      <c r="AE149" s="185"/>
      <c r="AF149" s="185"/>
      <c r="AG149" s="185"/>
      <c r="AH149" s="185"/>
      <c r="AI149" s="185"/>
      <c r="AJ149" s="185"/>
      <c r="AK149" s="185"/>
    </row>
    <row r="150" spans="6:37" s="182" customFormat="1" ht="22.5" customHeight="1">
      <c r="F150" s="185"/>
      <c r="H150" s="185"/>
      <c r="I150" s="185"/>
      <c r="J150" s="185"/>
      <c r="S150" s="185"/>
      <c r="T150" s="185"/>
      <c r="U150" s="185"/>
      <c r="V150" s="185"/>
      <c r="W150" s="185"/>
      <c r="X150" s="185"/>
      <c r="Y150" s="185"/>
      <c r="Z150" s="185"/>
      <c r="AA150" s="185"/>
      <c r="AB150" s="185"/>
      <c r="AC150" s="185"/>
      <c r="AD150" s="185"/>
      <c r="AE150" s="185"/>
      <c r="AF150" s="185"/>
      <c r="AG150" s="185"/>
      <c r="AH150" s="185"/>
      <c r="AI150" s="185"/>
      <c r="AJ150" s="185"/>
      <c r="AK150" s="185"/>
    </row>
    <row r="151" spans="8:10" ht="15">
      <c r="H151" s="121"/>
      <c r="I151" s="121"/>
      <c r="J151" s="121"/>
    </row>
    <row r="152" spans="8:10" ht="15">
      <c r="H152" s="121"/>
      <c r="I152" s="121"/>
      <c r="J152" s="121"/>
    </row>
    <row r="153" spans="8:10" ht="15">
      <c r="H153" s="121"/>
      <c r="I153" s="121"/>
      <c r="J153" s="121"/>
    </row>
    <row r="154" spans="8:10" ht="15">
      <c r="H154" s="121"/>
      <c r="I154" s="121"/>
      <c r="J154" s="121"/>
    </row>
    <row r="155" spans="8:10" ht="15">
      <c r="H155" s="121"/>
      <c r="I155" s="121"/>
      <c r="J155" s="121"/>
    </row>
    <row r="156" spans="8:10" ht="15">
      <c r="H156" s="121"/>
      <c r="I156" s="121"/>
      <c r="J156" s="121"/>
    </row>
    <row r="157" spans="8:10" ht="15">
      <c r="H157" s="121"/>
      <c r="I157" s="121"/>
      <c r="J157" s="121"/>
    </row>
    <row r="158" spans="8:10" ht="15">
      <c r="H158" s="121"/>
      <c r="I158" s="121"/>
      <c r="J158" s="121"/>
    </row>
    <row r="159" spans="8:10" ht="15">
      <c r="H159" s="121"/>
      <c r="I159" s="121"/>
      <c r="J159" s="121"/>
    </row>
    <row r="160" spans="8:10" ht="15">
      <c r="H160" s="121"/>
      <c r="I160" s="121"/>
      <c r="J160" s="121"/>
    </row>
    <row r="161" spans="8:10" ht="15">
      <c r="H161" s="121"/>
      <c r="I161" s="121"/>
      <c r="J161" s="121"/>
    </row>
    <row r="162" spans="8:10" ht="15">
      <c r="H162" s="121"/>
      <c r="I162" s="121"/>
      <c r="J162" s="121"/>
    </row>
    <row r="163" spans="8:10" ht="15">
      <c r="H163" s="121"/>
      <c r="I163" s="121"/>
      <c r="J163" s="121"/>
    </row>
    <row r="164" spans="8:10" ht="15">
      <c r="H164" s="121"/>
      <c r="I164" s="121"/>
      <c r="J164" s="121"/>
    </row>
    <row r="165" spans="8:10" ht="15">
      <c r="H165" s="121"/>
      <c r="I165" s="121"/>
      <c r="J165" s="121"/>
    </row>
    <row r="166" spans="8:10" ht="15">
      <c r="H166" s="121"/>
      <c r="I166" s="121"/>
      <c r="J166" s="121"/>
    </row>
    <row r="167" spans="8:10" ht="15">
      <c r="H167" s="121"/>
      <c r="I167" s="121"/>
      <c r="J167" s="121"/>
    </row>
    <row r="168" spans="8:10" ht="15">
      <c r="H168" s="121"/>
      <c r="I168" s="121"/>
      <c r="J168" s="121"/>
    </row>
    <row r="169" spans="8:10" ht="15">
      <c r="H169" s="121"/>
      <c r="I169" s="121"/>
      <c r="J169" s="121"/>
    </row>
    <row r="170" spans="8:10" ht="15">
      <c r="H170" s="121"/>
      <c r="I170" s="121"/>
      <c r="J170" s="121"/>
    </row>
    <row r="171" spans="8:10" ht="15">
      <c r="H171" s="121"/>
      <c r="I171" s="121"/>
      <c r="J171" s="121"/>
    </row>
    <row r="172" spans="8:10" ht="15">
      <c r="H172" s="121"/>
      <c r="I172" s="121"/>
      <c r="J172" s="121"/>
    </row>
    <row r="173" spans="8:10" ht="15">
      <c r="H173" s="121"/>
      <c r="I173" s="121"/>
      <c r="J173" s="121"/>
    </row>
    <row r="174" spans="8:10" ht="15">
      <c r="H174" s="121"/>
      <c r="I174" s="121"/>
      <c r="J174" s="121"/>
    </row>
    <row r="175" spans="8:10" ht="15">
      <c r="H175" s="121"/>
      <c r="I175" s="121"/>
      <c r="J175" s="121"/>
    </row>
    <row r="176" spans="8:10" ht="15">
      <c r="H176" s="121"/>
      <c r="I176" s="121"/>
      <c r="J176" s="121"/>
    </row>
    <row r="177" spans="8:10" ht="15">
      <c r="H177" s="121"/>
      <c r="I177" s="121"/>
      <c r="J177" s="121"/>
    </row>
    <row r="178" spans="8:10" ht="15">
      <c r="H178" s="121"/>
      <c r="I178" s="121"/>
      <c r="J178" s="121"/>
    </row>
    <row r="179" spans="8:10" ht="15">
      <c r="H179" s="121"/>
      <c r="I179" s="121"/>
      <c r="J179" s="121"/>
    </row>
    <row r="180" spans="8:10" ht="15">
      <c r="H180" s="121"/>
      <c r="I180" s="121"/>
      <c r="J180" s="121"/>
    </row>
    <row r="181" spans="8:10" ht="15">
      <c r="H181" s="121"/>
      <c r="I181" s="121"/>
      <c r="J181" s="121"/>
    </row>
    <row r="182" spans="8:10" ht="15">
      <c r="H182" s="121"/>
      <c r="I182" s="121"/>
      <c r="J182" s="121"/>
    </row>
    <row r="183" spans="8:10" ht="15">
      <c r="H183" s="121"/>
      <c r="I183" s="121"/>
      <c r="J183" s="121"/>
    </row>
    <row r="184" spans="8:10" ht="15">
      <c r="H184" s="121"/>
      <c r="I184" s="121"/>
      <c r="J184" s="121"/>
    </row>
    <row r="185" spans="8:10" ht="15">
      <c r="H185" s="121"/>
      <c r="I185" s="121"/>
      <c r="J185" s="121"/>
    </row>
    <row r="186" spans="8:10" ht="15">
      <c r="H186" s="121"/>
      <c r="I186" s="121"/>
      <c r="J186" s="121"/>
    </row>
    <row r="187" spans="8:10" ht="15">
      <c r="H187" s="121"/>
      <c r="I187" s="121"/>
      <c r="J187" s="121"/>
    </row>
    <row r="188" spans="8:10" ht="15">
      <c r="H188" s="121"/>
      <c r="I188" s="121"/>
      <c r="J188" s="121"/>
    </row>
    <row r="189" spans="8:10" ht="15">
      <c r="H189" s="121"/>
      <c r="I189" s="121"/>
      <c r="J189" s="121"/>
    </row>
    <row r="190" spans="8:10" ht="15">
      <c r="H190" s="121"/>
      <c r="I190" s="121"/>
      <c r="J190" s="121"/>
    </row>
    <row r="191" spans="8:10" ht="15">
      <c r="H191" s="121"/>
      <c r="I191" s="121"/>
      <c r="J191" s="121"/>
    </row>
    <row r="192" spans="8:10" ht="15">
      <c r="H192" s="121"/>
      <c r="I192" s="121"/>
      <c r="J192" s="121"/>
    </row>
    <row r="193" spans="8:10" ht="15">
      <c r="H193" s="121"/>
      <c r="I193" s="121"/>
      <c r="J193" s="121"/>
    </row>
    <row r="194" spans="8:10" ht="15">
      <c r="H194" s="121"/>
      <c r="I194" s="121"/>
      <c r="J194" s="121"/>
    </row>
    <row r="195" spans="8:10" ht="15">
      <c r="H195" s="121"/>
      <c r="I195" s="121"/>
      <c r="J195" s="121"/>
    </row>
    <row r="196" spans="8:10" ht="15">
      <c r="H196" s="121"/>
      <c r="I196" s="121"/>
      <c r="J196" s="121"/>
    </row>
    <row r="197" spans="8:10" ht="15">
      <c r="H197" s="121"/>
      <c r="I197" s="121"/>
      <c r="J197" s="121"/>
    </row>
    <row r="198" spans="8:10" ht="15">
      <c r="H198" s="121"/>
      <c r="I198" s="121"/>
      <c r="J198" s="121"/>
    </row>
    <row r="199" spans="8:10" ht="15">
      <c r="H199" s="121"/>
      <c r="I199" s="121"/>
      <c r="J199" s="121"/>
    </row>
    <row r="200" spans="8:10" ht="15">
      <c r="H200" s="121"/>
      <c r="I200" s="121"/>
      <c r="J200" s="121"/>
    </row>
    <row r="201" spans="8:10" ht="15">
      <c r="H201" s="121"/>
      <c r="I201" s="121"/>
      <c r="J201" s="121"/>
    </row>
    <row r="202" spans="8:10" ht="15">
      <c r="H202" s="121"/>
      <c r="I202" s="121"/>
      <c r="J202" s="121"/>
    </row>
    <row r="203" spans="8:10" ht="15">
      <c r="H203" s="121"/>
      <c r="I203" s="121"/>
      <c r="J203" s="121"/>
    </row>
    <row r="204" spans="8:10" ht="15">
      <c r="H204" s="121"/>
      <c r="I204" s="121"/>
      <c r="J204" s="121"/>
    </row>
    <row r="205" spans="8:10" ht="15">
      <c r="H205" s="121"/>
      <c r="I205" s="121"/>
      <c r="J205" s="121"/>
    </row>
    <row r="206" spans="8:10" ht="15">
      <c r="H206" s="121"/>
      <c r="I206" s="121"/>
      <c r="J206" s="121"/>
    </row>
    <row r="207" spans="8:10" ht="15">
      <c r="H207" s="121"/>
      <c r="I207" s="121"/>
      <c r="J207" s="121"/>
    </row>
    <row r="208" spans="8:10" ht="15">
      <c r="H208" s="121"/>
      <c r="I208" s="121"/>
      <c r="J208" s="121"/>
    </row>
    <row r="209" spans="8:10" ht="15">
      <c r="H209" s="121"/>
      <c r="I209" s="121"/>
      <c r="J209" s="121"/>
    </row>
    <row r="210" spans="8:10" ht="15">
      <c r="H210" s="121"/>
      <c r="I210" s="121"/>
      <c r="J210" s="121"/>
    </row>
    <row r="211" spans="8:10" ht="15">
      <c r="H211" s="121"/>
      <c r="I211" s="121"/>
      <c r="J211" s="121"/>
    </row>
    <row r="212" spans="8:10" ht="15">
      <c r="H212" s="121"/>
      <c r="I212" s="121"/>
      <c r="J212" s="121"/>
    </row>
    <row r="213" spans="8:10" ht="15">
      <c r="H213" s="121"/>
      <c r="I213" s="121"/>
      <c r="J213" s="121"/>
    </row>
    <row r="214" spans="8:10" ht="15">
      <c r="H214" s="121"/>
      <c r="I214" s="121"/>
      <c r="J214" s="121"/>
    </row>
    <row r="215" spans="8:10" ht="15">
      <c r="H215" s="121"/>
      <c r="I215" s="121"/>
      <c r="J215" s="121"/>
    </row>
    <row r="216" spans="8:10" ht="15">
      <c r="H216" s="121"/>
      <c r="I216" s="121"/>
      <c r="J216" s="121"/>
    </row>
    <row r="217" spans="8:10" ht="15">
      <c r="H217" s="121"/>
      <c r="I217" s="121"/>
      <c r="J217" s="121"/>
    </row>
    <row r="218" spans="8:10" ht="15">
      <c r="H218" s="121"/>
      <c r="I218" s="121"/>
      <c r="J218" s="121"/>
    </row>
    <row r="219" spans="8:10" ht="15">
      <c r="H219" s="121"/>
      <c r="I219" s="121"/>
      <c r="J219" s="121"/>
    </row>
    <row r="220" spans="8:10" ht="15">
      <c r="H220" s="121"/>
      <c r="I220" s="121"/>
      <c r="J220" s="121"/>
    </row>
    <row r="221" spans="8:10" ht="15">
      <c r="H221" s="121"/>
      <c r="I221" s="121"/>
      <c r="J221" s="121"/>
    </row>
    <row r="222" spans="8:10" ht="15">
      <c r="H222" s="121"/>
      <c r="I222" s="121"/>
      <c r="J222" s="121"/>
    </row>
    <row r="223" spans="8:10" ht="15">
      <c r="H223" s="121"/>
      <c r="I223" s="121"/>
      <c r="J223" s="121"/>
    </row>
    <row r="224" spans="8:10" ht="15">
      <c r="H224" s="121"/>
      <c r="I224" s="121"/>
      <c r="J224" s="121"/>
    </row>
    <row r="225" spans="8:10" ht="15">
      <c r="H225" s="121"/>
      <c r="I225" s="121"/>
      <c r="J225" s="121"/>
    </row>
    <row r="226" spans="8:10" ht="15">
      <c r="H226" s="121"/>
      <c r="I226" s="121"/>
      <c r="J226" s="121"/>
    </row>
    <row r="227" spans="8:10" ht="15">
      <c r="H227" s="121"/>
      <c r="I227" s="121"/>
      <c r="J227" s="121"/>
    </row>
    <row r="228" spans="8:10" ht="15">
      <c r="H228" s="121"/>
      <c r="I228" s="121"/>
      <c r="J228" s="121"/>
    </row>
    <row r="229" spans="8:10" ht="15">
      <c r="H229" s="121"/>
      <c r="I229" s="121"/>
      <c r="J229" s="121"/>
    </row>
    <row r="230" spans="8:10" ht="15">
      <c r="H230" s="121"/>
      <c r="I230" s="121"/>
      <c r="J230" s="121"/>
    </row>
    <row r="231" spans="8:10" ht="15">
      <c r="H231" s="121"/>
      <c r="I231" s="121"/>
      <c r="J231" s="121"/>
    </row>
    <row r="232" spans="8:10" ht="15">
      <c r="H232" s="121"/>
      <c r="I232" s="121"/>
      <c r="J232" s="121"/>
    </row>
    <row r="233" spans="8:10" ht="15">
      <c r="H233" s="121"/>
      <c r="I233" s="121"/>
      <c r="J233" s="121"/>
    </row>
    <row r="234" spans="8:10" ht="15">
      <c r="H234" s="121"/>
      <c r="I234" s="121"/>
      <c r="J234" s="121"/>
    </row>
    <row r="235" spans="8:10" ht="15">
      <c r="H235" s="121"/>
      <c r="I235" s="121"/>
      <c r="J235" s="121"/>
    </row>
    <row r="236" spans="8:10" ht="15">
      <c r="H236" s="121"/>
      <c r="I236" s="121"/>
      <c r="J236" s="121"/>
    </row>
    <row r="237" spans="8:10" ht="15">
      <c r="H237" s="121"/>
      <c r="I237" s="121"/>
      <c r="J237" s="121"/>
    </row>
    <row r="238" spans="8:10" ht="15">
      <c r="H238" s="121"/>
      <c r="I238" s="121"/>
      <c r="J238" s="121"/>
    </row>
    <row r="239" spans="8:10" ht="15">
      <c r="H239" s="121"/>
      <c r="I239" s="121"/>
      <c r="J239" s="121"/>
    </row>
    <row r="240" spans="8:10" ht="15">
      <c r="H240" s="121"/>
      <c r="I240" s="121"/>
      <c r="J240" s="121"/>
    </row>
    <row r="241" spans="8:10" ht="15">
      <c r="H241" s="121"/>
      <c r="I241" s="121"/>
      <c r="J241" s="121"/>
    </row>
    <row r="242" spans="8:10" ht="15">
      <c r="H242" s="121"/>
      <c r="I242" s="121"/>
      <c r="J242" s="121"/>
    </row>
    <row r="243" spans="8:10" ht="15">
      <c r="H243" s="121"/>
      <c r="I243" s="121"/>
      <c r="J243" s="121"/>
    </row>
    <row r="244" spans="8:10" ht="15">
      <c r="H244" s="121"/>
      <c r="I244" s="121"/>
      <c r="J244" s="121"/>
    </row>
    <row r="245" spans="8:10" ht="15">
      <c r="H245" s="121"/>
      <c r="I245" s="121"/>
      <c r="J245" s="121"/>
    </row>
    <row r="246" spans="8:10" ht="15">
      <c r="H246" s="121"/>
      <c r="I246" s="121"/>
      <c r="J246" s="121"/>
    </row>
    <row r="247" spans="8:10" ht="15">
      <c r="H247" s="121"/>
      <c r="I247" s="121"/>
      <c r="J247" s="121"/>
    </row>
    <row r="248" spans="8:10" ht="15">
      <c r="H248" s="121"/>
      <c r="I248" s="121"/>
      <c r="J248" s="121"/>
    </row>
    <row r="249" spans="8:10" ht="15">
      <c r="H249" s="121"/>
      <c r="I249" s="121"/>
      <c r="J249" s="121"/>
    </row>
    <row r="250" spans="8:10" ht="15">
      <c r="H250" s="121"/>
      <c r="I250" s="121"/>
      <c r="J250" s="121"/>
    </row>
    <row r="251" spans="8:10" ht="15">
      <c r="H251" s="121"/>
      <c r="I251" s="121"/>
      <c r="J251" s="121"/>
    </row>
    <row r="252" spans="8:10" ht="15">
      <c r="H252" s="121"/>
      <c r="I252" s="121"/>
      <c r="J252" s="121"/>
    </row>
    <row r="253" spans="8:10" ht="15">
      <c r="H253" s="121"/>
      <c r="I253" s="121"/>
      <c r="J253" s="121"/>
    </row>
    <row r="254" spans="8:10" ht="15">
      <c r="H254" s="121"/>
      <c r="I254" s="121"/>
      <c r="J254" s="121"/>
    </row>
    <row r="255" spans="8:10" ht="15">
      <c r="H255" s="121"/>
      <c r="I255" s="121"/>
      <c r="J255" s="121"/>
    </row>
    <row r="256" spans="8:10" ht="15">
      <c r="H256" s="121"/>
      <c r="I256" s="121"/>
      <c r="J256" s="121"/>
    </row>
    <row r="257" spans="8:10" ht="15">
      <c r="H257" s="121"/>
      <c r="I257" s="121"/>
      <c r="J257" s="121"/>
    </row>
    <row r="258" spans="8:10" ht="15">
      <c r="H258" s="121"/>
      <c r="I258" s="121"/>
      <c r="J258" s="121"/>
    </row>
    <row r="259" spans="8:10" ht="15">
      <c r="H259" s="121"/>
      <c r="I259" s="121"/>
      <c r="J259" s="121"/>
    </row>
    <row r="260" spans="8:10" ht="15">
      <c r="H260" s="121"/>
      <c r="I260" s="121"/>
      <c r="J260" s="121"/>
    </row>
    <row r="261" spans="8:10" ht="15">
      <c r="H261" s="121"/>
      <c r="I261" s="121"/>
      <c r="J261" s="121"/>
    </row>
    <row r="262" spans="8:10" ht="15">
      <c r="H262" s="121"/>
      <c r="I262" s="121"/>
      <c r="J262" s="121"/>
    </row>
    <row r="263" spans="8:10" ht="15">
      <c r="H263" s="121"/>
      <c r="I263" s="121"/>
      <c r="J263" s="121"/>
    </row>
    <row r="264" spans="8:10" ht="15">
      <c r="H264" s="121"/>
      <c r="I264" s="121"/>
      <c r="J264" s="121"/>
    </row>
    <row r="265" spans="8:10" ht="15">
      <c r="H265" s="121"/>
      <c r="I265" s="121"/>
      <c r="J265" s="121"/>
    </row>
    <row r="266" spans="8:10" ht="15">
      <c r="H266" s="121"/>
      <c r="I266" s="121"/>
      <c r="J266" s="121"/>
    </row>
    <row r="267" spans="8:10" ht="15">
      <c r="H267" s="121"/>
      <c r="I267" s="121"/>
      <c r="J267" s="121"/>
    </row>
    <row r="268" spans="8:10" ht="15">
      <c r="H268" s="121"/>
      <c r="I268" s="121"/>
      <c r="J268" s="121"/>
    </row>
    <row r="269" spans="8:10" ht="15">
      <c r="H269" s="121"/>
      <c r="I269" s="121"/>
      <c r="J269" s="121"/>
    </row>
    <row r="270" spans="8:10" ht="15">
      <c r="H270" s="121"/>
      <c r="I270" s="121"/>
      <c r="J270" s="121"/>
    </row>
    <row r="271" spans="8:10" ht="15">
      <c r="H271" s="121"/>
      <c r="I271" s="121"/>
      <c r="J271" s="121"/>
    </row>
    <row r="272" spans="8:10" ht="15">
      <c r="H272" s="121"/>
      <c r="I272" s="121"/>
      <c r="J272" s="121"/>
    </row>
    <row r="273" spans="8:10" ht="15">
      <c r="H273" s="121"/>
      <c r="I273" s="121"/>
      <c r="J273" s="121"/>
    </row>
    <row r="274" spans="8:10" ht="15">
      <c r="H274" s="121"/>
      <c r="I274" s="121"/>
      <c r="J274" s="121"/>
    </row>
    <row r="275" spans="8:10" ht="15">
      <c r="H275" s="121"/>
      <c r="I275" s="121"/>
      <c r="J275" s="121"/>
    </row>
    <row r="276" spans="8:10" ht="15">
      <c r="H276" s="121"/>
      <c r="I276" s="121"/>
      <c r="J276" s="121"/>
    </row>
    <row r="277" spans="8:10" ht="15">
      <c r="H277" s="121"/>
      <c r="I277" s="121"/>
      <c r="J277" s="121"/>
    </row>
    <row r="278" spans="8:10" ht="15">
      <c r="H278" s="121"/>
      <c r="I278" s="121"/>
      <c r="J278" s="121"/>
    </row>
    <row r="279" spans="8:10" ht="15">
      <c r="H279" s="121"/>
      <c r="I279" s="121"/>
      <c r="J279" s="121"/>
    </row>
    <row r="280" spans="8:10" ht="15">
      <c r="H280" s="121"/>
      <c r="I280" s="121"/>
      <c r="J280" s="121"/>
    </row>
    <row r="281" spans="8:10" ht="15">
      <c r="H281" s="121"/>
      <c r="I281" s="121"/>
      <c r="J281" s="121"/>
    </row>
    <row r="282" spans="8:10" ht="15">
      <c r="H282" s="121"/>
      <c r="I282" s="121"/>
      <c r="J282" s="121"/>
    </row>
    <row r="283" spans="8:10" ht="15">
      <c r="H283" s="121"/>
      <c r="I283" s="121"/>
      <c r="J283" s="121"/>
    </row>
    <row r="284" spans="8:10" ht="15">
      <c r="H284" s="121"/>
      <c r="I284" s="121"/>
      <c r="J284" s="121"/>
    </row>
    <row r="285" spans="8:10" ht="15">
      <c r="H285" s="121"/>
      <c r="I285" s="121"/>
      <c r="J285" s="121"/>
    </row>
    <row r="286" spans="8:10" ht="15">
      <c r="H286" s="121"/>
      <c r="I286" s="121"/>
      <c r="J286" s="121"/>
    </row>
    <row r="287" spans="8:10" ht="15">
      <c r="H287" s="121"/>
      <c r="I287" s="121"/>
      <c r="J287" s="121"/>
    </row>
    <row r="288" spans="8:10" ht="15">
      <c r="H288" s="121"/>
      <c r="I288" s="121"/>
      <c r="J288" s="121"/>
    </row>
    <row r="289" spans="8:10" ht="15">
      <c r="H289" s="121"/>
      <c r="I289" s="121"/>
      <c r="J289" s="121"/>
    </row>
    <row r="290" spans="8:10" ht="15">
      <c r="H290" s="121"/>
      <c r="I290" s="121"/>
      <c r="J290" s="121"/>
    </row>
    <row r="291" spans="8:10" ht="15">
      <c r="H291" s="121"/>
      <c r="I291" s="121"/>
      <c r="J291" s="121"/>
    </row>
    <row r="292" spans="8:10" ht="15">
      <c r="H292" s="121"/>
      <c r="I292" s="121"/>
      <c r="J292" s="121"/>
    </row>
    <row r="293" spans="8:10" ht="15">
      <c r="H293" s="121"/>
      <c r="I293" s="121"/>
      <c r="J293" s="121"/>
    </row>
    <row r="294" spans="8:10" ht="15">
      <c r="H294" s="121"/>
      <c r="I294" s="121"/>
      <c r="J294" s="121"/>
    </row>
    <row r="295" spans="8:10" ht="15">
      <c r="H295" s="121"/>
      <c r="I295" s="121"/>
      <c r="J295" s="121"/>
    </row>
    <row r="296" spans="8:10" ht="15">
      <c r="H296" s="121"/>
      <c r="I296" s="121"/>
      <c r="J296" s="121"/>
    </row>
    <row r="297" spans="8:10" ht="15">
      <c r="H297" s="121"/>
      <c r="I297" s="121"/>
      <c r="J297" s="121"/>
    </row>
    <row r="298" spans="8:10" ht="15">
      <c r="H298" s="121"/>
      <c r="I298" s="121"/>
      <c r="J298" s="121"/>
    </row>
    <row r="299" spans="8:10" ht="15">
      <c r="H299" s="121"/>
      <c r="I299" s="121"/>
      <c r="J299" s="121"/>
    </row>
    <row r="300" spans="8:10" ht="15">
      <c r="H300" s="121"/>
      <c r="I300" s="121"/>
      <c r="J300" s="121"/>
    </row>
    <row r="301" spans="8:10" ht="15">
      <c r="H301" s="121"/>
      <c r="I301" s="121"/>
      <c r="J301" s="121"/>
    </row>
    <row r="302" spans="8:10" ht="15">
      <c r="H302" s="121"/>
      <c r="I302" s="121"/>
      <c r="J302" s="121"/>
    </row>
    <row r="303" spans="8:10" ht="15">
      <c r="H303" s="121"/>
      <c r="I303" s="121"/>
      <c r="J303" s="121"/>
    </row>
    <row r="304" spans="8:10" ht="15">
      <c r="H304" s="121"/>
      <c r="I304" s="121"/>
      <c r="J304" s="121"/>
    </row>
    <row r="305" spans="8:10" ht="15">
      <c r="H305" s="121"/>
      <c r="I305" s="121"/>
      <c r="J305" s="121"/>
    </row>
    <row r="306" spans="8:10" ht="15">
      <c r="H306" s="121"/>
      <c r="I306" s="121"/>
      <c r="J306" s="121"/>
    </row>
    <row r="307" spans="8:10" ht="15">
      <c r="H307" s="121"/>
      <c r="I307" s="121"/>
      <c r="J307" s="121"/>
    </row>
    <row r="308" spans="8:10" ht="15">
      <c r="H308" s="121"/>
      <c r="I308" s="121"/>
      <c r="J308" s="121"/>
    </row>
    <row r="309" spans="8:10" ht="15">
      <c r="H309" s="121"/>
      <c r="I309" s="121"/>
      <c r="J309" s="121"/>
    </row>
    <row r="310" spans="8:10" ht="15">
      <c r="H310" s="121"/>
      <c r="I310" s="121"/>
      <c r="J310" s="121"/>
    </row>
    <row r="311" spans="8:10" ht="15">
      <c r="H311" s="121"/>
      <c r="I311" s="121"/>
      <c r="J311" s="121"/>
    </row>
    <row r="312" spans="8:10" ht="15">
      <c r="H312" s="121"/>
      <c r="I312" s="121"/>
      <c r="J312" s="121"/>
    </row>
    <row r="313" spans="8:10" ht="15">
      <c r="H313" s="121"/>
      <c r="I313" s="121"/>
      <c r="J313" s="121"/>
    </row>
    <row r="314" spans="8:10" ht="15">
      <c r="H314" s="121"/>
      <c r="I314" s="121"/>
      <c r="J314" s="121"/>
    </row>
    <row r="315" spans="8:10" ht="15">
      <c r="H315" s="121"/>
      <c r="I315" s="121"/>
      <c r="J315" s="121"/>
    </row>
    <row r="316" spans="8:10" ht="15">
      <c r="H316" s="121"/>
      <c r="I316" s="121"/>
      <c r="J316" s="121"/>
    </row>
    <row r="317" spans="8:10" ht="15">
      <c r="H317" s="121"/>
      <c r="I317" s="121"/>
      <c r="J317" s="121"/>
    </row>
    <row r="318" spans="8:10" ht="15">
      <c r="H318" s="121"/>
      <c r="I318" s="121"/>
      <c r="J318" s="121"/>
    </row>
    <row r="319" spans="8:10" ht="15">
      <c r="H319" s="121"/>
      <c r="I319" s="121"/>
      <c r="J319" s="121"/>
    </row>
    <row r="320" spans="8:10" ht="15">
      <c r="H320" s="121"/>
      <c r="I320" s="121"/>
      <c r="J320" s="121"/>
    </row>
    <row r="321" spans="8:10" ht="15">
      <c r="H321" s="121"/>
      <c r="I321" s="121"/>
      <c r="J321" s="121"/>
    </row>
    <row r="322" spans="8:10" ht="15">
      <c r="H322" s="121"/>
      <c r="I322" s="121"/>
      <c r="J322" s="121"/>
    </row>
    <row r="323" spans="8:10" ht="15">
      <c r="H323" s="121"/>
      <c r="I323" s="121"/>
      <c r="J323" s="121"/>
    </row>
    <row r="324" spans="8:10" ht="15">
      <c r="H324" s="121"/>
      <c r="I324" s="121"/>
      <c r="J324" s="121"/>
    </row>
    <row r="325" spans="8:10" ht="15">
      <c r="H325" s="121"/>
      <c r="I325" s="121"/>
      <c r="J325" s="121"/>
    </row>
    <row r="326" spans="8:10" ht="15">
      <c r="H326" s="121"/>
      <c r="I326" s="121"/>
      <c r="J326" s="121"/>
    </row>
    <row r="327" spans="8:10" ht="15">
      <c r="H327" s="121"/>
      <c r="I327" s="121"/>
      <c r="J327" s="121"/>
    </row>
    <row r="328" spans="8:10" ht="15">
      <c r="H328" s="121"/>
      <c r="I328" s="121"/>
      <c r="J328" s="121"/>
    </row>
    <row r="329" spans="8:10" ht="15">
      <c r="H329" s="121"/>
      <c r="I329" s="121"/>
      <c r="J329" s="121"/>
    </row>
    <row r="330" spans="8:10" ht="15">
      <c r="H330" s="121"/>
      <c r="I330" s="121"/>
      <c r="J330" s="121"/>
    </row>
    <row r="331" spans="8:10" ht="15">
      <c r="H331" s="121"/>
      <c r="I331" s="121"/>
      <c r="J331" s="121"/>
    </row>
    <row r="332" spans="8:10" ht="15">
      <c r="H332" s="121"/>
      <c r="I332" s="121"/>
      <c r="J332" s="121"/>
    </row>
    <row r="333" spans="8:10" ht="15">
      <c r="H333" s="121"/>
      <c r="I333" s="121"/>
      <c r="J333" s="121"/>
    </row>
    <row r="334" spans="8:10" ht="15">
      <c r="H334" s="121"/>
      <c r="I334" s="121"/>
      <c r="J334" s="121"/>
    </row>
    <row r="335" spans="8:10" ht="15">
      <c r="H335" s="121"/>
      <c r="I335" s="121"/>
      <c r="J335" s="121"/>
    </row>
    <row r="336" spans="8:10" ht="15">
      <c r="H336" s="121"/>
      <c r="I336" s="121"/>
      <c r="J336" s="121"/>
    </row>
    <row r="337" spans="8:10" ht="15">
      <c r="H337" s="121"/>
      <c r="I337" s="121"/>
      <c r="J337" s="121"/>
    </row>
    <row r="338" spans="8:10" ht="15">
      <c r="H338" s="121"/>
      <c r="I338" s="121"/>
      <c r="J338" s="121"/>
    </row>
    <row r="339" spans="8:10" ht="15">
      <c r="H339" s="121"/>
      <c r="I339" s="121"/>
      <c r="J339" s="121"/>
    </row>
    <row r="340" spans="8:10" ht="15">
      <c r="H340" s="121"/>
      <c r="I340" s="121"/>
      <c r="J340" s="121"/>
    </row>
    <row r="341" spans="8:10" ht="15">
      <c r="H341" s="121"/>
      <c r="I341" s="121"/>
      <c r="J341" s="121"/>
    </row>
    <row r="342" spans="8:10" ht="15">
      <c r="H342" s="121"/>
      <c r="I342" s="121"/>
      <c r="J342" s="121"/>
    </row>
    <row r="343" spans="8:10" ht="15">
      <c r="H343" s="121"/>
      <c r="I343" s="121"/>
      <c r="J343" s="121"/>
    </row>
    <row r="344" spans="8:10" ht="15">
      <c r="H344" s="121"/>
      <c r="I344" s="121"/>
      <c r="J344" s="121"/>
    </row>
    <row r="345" spans="8:10" ht="15">
      <c r="H345" s="121"/>
      <c r="I345" s="121"/>
      <c r="J345" s="121"/>
    </row>
    <row r="346" spans="8:10" ht="15">
      <c r="H346" s="121"/>
      <c r="I346" s="121"/>
      <c r="J346" s="121"/>
    </row>
    <row r="347" spans="8:10" ht="15">
      <c r="H347" s="121"/>
      <c r="I347" s="121"/>
      <c r="J347" s="121"/>
    </row>
    <row r="348" spans="8:10" ht="15">
      <c r="H348" s="121"/>
      <c r="I348" s="121"/>
      <c r="J348" s="121"/>
    </row>
    <row r="349" spans="8:10" ht="15">
      <c r="H349" s="121"/>
      <c r="I349" s="121"/>
      <c r="J349" s="121"/>
    </row>
    <row r="350" spans="8:10" ht="15">
      <c r="H350" s="121"/>
      <c r="I350" s="121"/>
      <c r="J350" s="121"/>
    </row>
    <row r="351" spans="8:10" ht="15">
      <c r="H351" s="121"/>
      <c r="I351" s="121"/>
      <c r="J351" s="121"/>
    </row>
    <row r="352" spans="8:10" ht="15">
      <c r="H352" s="121"/>
      <c r="I352" s="121"/>
      <c r="J352" s="121"/>
    </row>
    <row r="353" spans="8:10" ht="15">
      <c r="H353" s="121"/>
      <c r="I353" s="121"/>
      <c r="J353" s="121"/>
    </row>
    <row r="354" spans="8:10" ht="15">
      <c r="H354" s="121"/>
      <c r="I354" s="121"/>
      <c r="J354" s="121"/>
    </row>
    <row r="355" spans="8:10" ht="15">
      <c r="H355" s="121"/>
      <c r="I355" s="121"/>
      <c r="J355" s="121"/>
    </row>
    <row r="356" spans="8:10" ht="15">
      <c r="H356" s="121"/>
      <c r="I356" s="121"/>
      <c r="J356" s="121"/>
    </row>
    <row r="357" spans="8:10" ht="15">
      <c r="H357" s="121"/>
      <c r="I357" s="121"/>
      <c r="J357" s="121"/>
    </row>
    <row r="358" spans="8:10" ht="15">
      <c r="H358" s="121"/>
      <c r="I358" s="121"/>
      <c r="J358" s="121"/>
    </row>
    <row r="359" spans="8:10" ht="15">
      <c r="H359" s="121"/>
      <c r="I359" s="121"/>
      <c r="J359" s="121"/>
    </row>
    <row r="360" spans="8:10" ht="15">
      <c r="H360" s="121"/>
      <c r="I360" s="121"/>
      <c r="J360" s="121"/>
    </row>
    <row r="361" spans="8:10" ht="15">
      <c r="H361" s="121"/>
      <c r="I361" s="121"/>
      <c r="J361" s="121"/>
    </row>
    <row r="362" spans="8:10" ht="15">
      <c r="H362" s="121"/>
      <c r="I362" s="121"/>
      <c r="J362" s="121"/>
    </row>
    <row r="363" spans="8:10" ht="15">
      <c r="H363" s="121"/>
      <c r="I363" s="121"/>
      <c r="J363" s="121"/>
    </row>
    <row r="364" spans="8:10" ht="15">
      <c r="H364" s="121"/>
      <c r="I364" s="121"/>
      <c r="J364" s="121"/>
    </row>
    <row r="365" spans="8:10" ht="15">
      <c r="H365" s="121"/>
      <c r="I365" s="121"/>
      <c r="J365" s="121"/>
    </row>
    <row r="366" spans="8:10" ht="15">
      <c r="H366" s="121"/>
      <c r="I366" s="121"/>
      <c r="J366" s="121"/>
    </row>
    <row r="367" spans="8:10" ht="15">
      <c r="H367" s="121"/>
      <c r="I367" s="121"/>
      <c r="J367" s="121"/>
    </row>
    <row r="368" spans="8:10" ht="15">
      <c r="H368" s="121"/>
      <c r="I368" s="121"/>
      <c r="J368" s="121"/>
    </row>
    <row r="369" spans="8:10" ht="15">
      <c r="H369" s="121"/>
      <c r="I369" s="121"/>
      <c r="J369" s="121"/>
    </row>
    <row r="370" spans="8:10" ht="15">
      <c r="H370" s="121"/>
      <c r="I370" s="121"/>
      <c r="J370" s="121"/>
    </row>
    <row r="371" spans="8:10" ht="15">
      <c r="H371" s="121"/>
      <c r="I371" s="121"/>
      <c r="J371" s="121"/>
    </row>
    <row r="372" spans="8:10" ht="15">
      <c r="H372" s="121"/>
      <c r="I372" s="121"/>
      <c r="J372" s="121"/>
    </row>
    <row r="373" spans="8:10" ht="15">
      <c r="H373" s="121"/>
      <c r="I373" s="121"/>
      <c r="J373" s="121"/>
    </row>
    <row r="374" spans="8:10" ht="15">
      <c r="H374" s="121"/>
      <c r="I374" s="121"/>
      <c r="J374" s="121"/>
    </row>
    <row r="375" spans="8:10" ht="15">
      <c r="H375" s="121"/>
      <c r="I375" s="121"/>
      <c r="J375" s="121"/>
    </row>
    <row r="376" spans="8:10" ht="15">
      <c r="H376" s="121"/>
      <c r="I376" s="121"/>
      <c r="J376" s="121"/>
    </row>
    <row r="377" spans="8:10" ht="15">
      <c r="H377" s="121"/>
      <c r="I377" s="121"/>
      <c r="J377" s="121"/>
    </row>
    <row r="378" spans="8:10" ht="15">
      <c r="H378" s="121"/>
      <c r="I378" s="121"/>
      <c r="J378" s="121"/>
    </row>
    <row r="379" spans="8:10" ht="15">
      <c r="H379" s="121"/>
      <c r="I379" s="121"/>
      <c r="J379" s="121"/>
    </row>
    <row r="380" spans="8:10" ht="15">
      <c r="H380" s="121"/>
      <c r="I380" s="121"/>
      <c r="J380" s="121"/>
    </row>
    <row r="381" spans="8:10" ht="15">
      <c r="H381" s="121"/>
      <c r="I381" s="121"/>
      <c r="J381" s="121"/>
    </row>
    <row r="382" spans="8:10" ht="15">
      <c r="H382" s="121"/>
      <c r="I382" s="121"/>
      <c r="J382" s="121"/>
    </row>
    <row r="383" spans="8:10" ht="15">
      <c r="H383" s="121"/>
      <c r="I383" s="121"/>
      <c r="J383" s="121"/>
    </row>
    <row r="384" spans="8:10" ht="15">
      <c r="H384" s="121"/>
      <c r="I384" s="121"/>
      <c r="J384" s="121"/>
    </row>
    <row r="385" spans="8:10" ht="15">
      <c r="H385" s="121"/>
      <c r="I385" s="121"/>
      <c r="J385" s="121"/>
    </row>
    <row r="386" spans="8:10" ht="15">
      <c r="H386" s="121"/>
      <c r="I386" s="121"/>
      <c r="J386" s="121"/>
    </row>
    <row r="387" spans="8:10" ht="15">
      <c r="H387" s="121"/>
      <c r="I387" s="121"/>
      <c r="J387" s="121"/>
    </row>
    <row r="388" spans="8:10" ht="15">
      <c r="H388" s="121"/>
      <c r="I388" s="121"/>
      <c r="J388" s="121"/>
    </row>
    <row r="389" spans="8:10" ht="15">
      <c r="H389" s="121"/>
      <c r="I389" s="121"/>
      <c r="J389" s="121"/>
    </row>
    <row r="390" spans="8:10" ht="15">
      <c r="H390" s="121"/>
      <c r="I390" s="121"/>
      <c r="J390" s="121"/>
    </row>
    <row r="391" spans="8:10" ht="15">
      <c r="H391" s="121"/>
      <c r="I391" s="121"/>
      <c r="J391" s="121"/>
    </row>
    <row r="392" spans="8:10" ht="15">
      <c r="H392" s="121"/>
      <c r="I392" s="121"/>
      <c r="J392" s="121"/>
    </row>
    <row r="393" spans="8:10" ht="15">
      <c r="H393" s="121"/>
      <c r="I393" s="121"/>
      <c r="J393" s="121"/>
    </row>
    <row r="394" spans="8:10" ht="15">
      <c r="H394" s="121"/>
      <c r="I394" s="121"/>
      <c r="J394" s="121"/>
    </row>
    <row r="395" spans="8:10" ht="15">
      <c r="H395" s="121"/>
      <c r="I395" s="121"/>
      <c r="J395" s="121"/>
    </row>
    <row r="396" spans="8:10" ht="15">
      <c r="H396" s="121"/>
      <c r="I396" s="121"/>
      <c r="J396" s="121"/>
    </row>
    <row r="397" spans="8:10" ht="15">
      <c r="H397" s="121"/>
      <c r="I397" s="121"/>
      <c r="J397" s="121"/>
    </row>
    <row r="398" spans="8:10" ht="15">
      <c r="H398" s="121"/>
      <c r="I398" s="121"/>
      <c r="J398" s="121"/>
    </row>
    <row r="399" spans="8:10" ht="15">
      <c r="H399" s="121"/>
      <c r="I399" s="121"/>
      <c r="J399" s="121"/>
    </row>
    <row r="400" spans="8:10" ht="15">
      <c r="H400" s="121"/>
      <c r="I400" s="121"/>
      <c r="J400" s="121"/>
    </row>
    <row r="401" spans="8:10" ht="15">
      <c r="H401" s="121"/>
      <c r="I401" s="121"/>
      <c r="J401" s="121"/>
    </row>
    <row r="402" spans="8:10" ht="15">
      <c r="H402" s="121"/>
      <c r="I402" s="121"/>
      <c r="J402" s="121"/>
    </row>
    <row r="403" spans="8:10" ht="15">
      <c r="H403" s="121"/>
      <c r="I403" s="121"/>
      <c r="J403" s="121"/>
    </row>
    <row r="404" spans="8:10" ht="15">
      <c r="H404" s="121"/>
      <c r="I404" s="121"/>
      <c r="J404" s="121"/>
    </row>
    <row r="405" spans="8:10" ht="15">
      <c r="H405" s="121"/>
      <c r="I405" s="121"/>
      <c r="J405" s="121"/>
    </row>
    <row r="406" spans="8:10" ht="15">
      <c r="H406" s="121"/>
      <c r="I406" s="121"/>
      <c r="J406" s="121"/>
    </row>
    <row r="407" spans="8:10" ht="15">
      <c r="H407" s="121"/>
      <c r="I407" s="121"/>
      <c r="J407" s="121"/>
    </row>
    <row r="408" spans="8:10" ht="15">
      <c r="H408" s="121"/>
      <c r="I408" s="121"/>
      <c r="J408" s="121"/>
    </row>
    <row r="409" spans="8:10" ht="15">
      <c r="H409" s="121"/>
      <c r="I409" s="121"/>
      <c r="J409" s="121"/>
    </row>
    <row r="410" spans="8:10" ht="15">
      <c r="H410" s="121"/>
      <c r="I410" s="121"/>
      <c r="J410" s="121"/>
    </row>
    <row r="411" spans="8:10" ht="15">
      <c r="H411" s="121"/>
      <c r="I411" s="121"/>
      <c r="J411" s="121"/>
    </row>
    <row r="412" spans="8:10" ht="15">
      <c r="H412" s="121"/>
      <c r="I412" s="121"/>
      <c r="J412" s="121"/>
    </row>
    <row r="413" spans="8:10" ht="15">
      <c r="H413" s="121"/>
      <c r="I413" s="121"/>
      <c r="J413" s="121"/>
    </row>
    <row r="414" spans="8:10" ht="15">
      <c r="H414" s="121"/>
      <c r="I414" s="121"/>
      <c r="J414" s="121"/>
    </row>
    <row r="415" spans="8:10" ht="15">
      <c r="H415" s="121"/>
      <c r="I415" s="121"/>
      <c r="J415" s="121"/>
    </row>
    <row r="416" spans="8:10" ht="15">
      <c r="H416" s="121"/>
      <c r="I416" s="121"/>
      <c r="J416" s="121"/>
    </row>
    <row r="417" spans="8:10" ht="15">
      <c r="H417" s="121"/>
      <c r="I417" s="121"/>
      <c r="J417" s="121"/>
    </row>
    <row r="418" spans="8:10" ht="15">
      <c r="H418" s="121"/>
      <c r="I418" s="121"/>
      <c r="J418" s="121"/>
    </row>
    <row r="419" spans="8:10" ht="15">
      <c r="H419" s="121"/>
      <c r="I419" s="121"/>
      <c r="J419" s="121"/>
    </row>
    <row r="420" spans="8:10" ht="15">
      <c r="H420" s="121"/>
      <c r="I420" s="121"/>
      <c r="J420" s="121"/>
    </row>
    <row r="421" spans="8:10" ht="15">
      <c r="H421" s="121"/>
      <c r="I421" s="121"/>
      <c r="J421" s="121"/>
    </row>
    <row r="422" spans="8:10" ht="15">
      <c r="H422" s="121"/>
      <c r="I422" s="121"/>
      <c r="J422" s="121"/>
    </row>
    <row r="423" spans="8:10" ht="15">
      <c r="H423" s="121"/>
      <c r="I423" s="121"/>
      <c r="J423" s="121"/>
    </row>
    <row r="424" spans="8:10" ht="15">
      <c r="H424" s="121"/>
      <c r="I424" s="121"/>
      <c r="J424" s="121"/>
    </row>
    <row r="425" spans="8:10" ht="15">
      <c r="H425" s="121"/>
      <c r="I425" s="121"/>
      <c r="J425" s="121"/>
    </row>
    <row r="426" spans="8:10" ht="15">
      <c r="H426" s="121"/>
      <c r="I426" s="121"/>
      <c r="J426" s="121"/>
    </row>
    <row r="427" spans="8:10" ht="15">
      <c r="H427" s="121"/>
      <c r="I427" s="121"/>
      <c r="J427" s="121"/>
    </row>
    <row r="428" spans="8:10" ht="15">
      <c r="H428" s="121"/>
      <c r="I428" s="121"/>
      <c r="J428" s="121"/>
    </row>
    <row r="429" spans="8:10" ht="15">
      <c r="H429" s="121"/>
      <c r="I429" s="121"/>
      <c r="J429" s="121"/>
    </row>
    <row r="430" spans="8:10" ht="15">
      <c r="H430" s="121"/>
      <c r="I430" s="121"/>
      <c r="J430" s="121"/>
    </row>
    <row r="431" spans="8:10" ht="15">
      <c r="H431" s="121"/>
      <c r="I431" s="121"/>
      <c r="J431" s="121"/>
    </row>
    <row r="432" spans="8:10" ht="15">
      <c r="H432" s="121"/>
      <c r="I432" s="121"/>
      <c r="J432" s="121"/>
    </row>
    <row r="433" spans="8:10" ht="15">
      <c r="H433" s="121"/>
      <c r="I433" s="121"/>
      <c r="J433" s="121"/>
    </row>
    <row r="434" spans="8:10" ht="15">
      <c r="H434" s="121"/>
      <c r="I434" s="121"/>
      <c r="J434" s="121"/>
    </row>
    <row r="435" spans="8:10" ht="15">
      <c r="H435" s="121"/>
      <c r="I435" s="121"/>
      <c r="J435" s="121"/>
    </row>
    <row r="436" spans="8:10" ht="15">
      <c r="H436" s="121"/>
      <c r="I436" s="121"/>
      <c r="J436" s="121"/>
    </row>
    <row r="437" spans="8:10" ht="15">
      <c r="H437" s="121"/>
      <c r="I437" s="121"/>
      <c r="J437" s="121"/>
    </row>
    <row r="438" spans="8:10" ht="15">
      <c r="H438" s="121"/>
      <c r="I438" s="121"/>
      <c r="J438" s="121"/>
    </row>
    <row r="439" spans="8:10" ht="15">
      <c r="H439" s="121"/>
      <c r="I439" s="121"/>
      <c r="J439" s="121"/>
    </row>
    <row r="440" spans="8:10" ht="15">
      <c r="H440" s="121"/>
      <c r="I440" s="121"/>
      <c r="J440" s="121"/>
    </row>
    <row r="441" spans="8:10" ht="15">
      <c r="H441" s="121"/>
      <c r="I441" s="121"/>
      <c r="J441" s="121"/>
    </row>
    <row r="442" spans="8:10" ht="15">
      <c r="H442" s="121"/>
      <c r="I442" s="121"/>
      <c r="J442" s="121"/>
    </row>
    <row r="443" spans="8:10" ht="15">
      <c r="H443" s="121"/>
      <c r="I443" s="121"/>
      <c r="J443" s="121"/>
    </row>
    <row r="444" spans="8:10" ht="15">
      <c r="H444" s="121"/>
      <c r="I444" s="121"/>
      <c r="J444" s="121"/>
    </row>
    <row r="445" spans="8:10" ht="15">
      <c r="H445" s="121"/>
      <c r="I445" s="121"/>
      <c r="J445" s="121"/>
    </row>
    <row r="446" spans="8:10" ht="15">
      <c r="H446" s="121"/>
      <c r="I446" s="121"/>
      <c r="J446" s="121"/>
    </row>
    <row r="447" spans="8:10" ht="15">
      <c r="H447" s="121"/>
      <c r="I447" s="121"/>
      <c r="J447" s="121"/>
    </row>
    <row r="448" spans="8:10" ht="15">
      <c r="H448" s="121"/>
      <c r="I448" s="121"/>
      <c r="J448" s="121"/>
    </row>
    <row r="449" spans="8:10" ht="15">
      <c r="H449" s="121"/>
      <c r="I449" s="121"/>
      <c r="J449" s="121"/>
    </row>
    <row r="450" spans="8:10" ht="15">
      <c r="H450" s="121"/>
      <c r="I450" s="121"/>
      <c r="J450" s="121"/>
    </row>
    <row r="451" spans="8:10" ht="15">
      <c r="H451" s="121"/>
      <c r="I451" s="121"/>
      <c r="J451" s="121"/>
    </row>
    <row r="452" spans="8:10" ht="15">
      <c r="H452" s="121"/>
      <c r="I452" s="121"/>
      <c r="J452" s="121"/>
    </row>
    <row r="453" spans="8:10" ht="15">
      <c r="H453" s="121"/>
      <c r="I453" s="121"/>
      <c r="J453" s="121"/>
    </row>
    <row r="454" spans="8:10" ht="15">
      <c r="H454" s="121"/>
      <c r="I454" s="121"/>
      <c r="J454" s="121"/>
    </row>
    <row r="455" spans="8:10" ht="15">
      <c r="H455" s="121"/>
      <c r="I455" s="121"/>
      <c r="J455" s="121"/>
    </row>
    <row r="456" spans="8:10" ht="15">
      <c r="H456" s="121"/>
      <c r="I456" s="121"/>
      <c r="J456" s="121"/>
    </row>
    <row r="457" spans="8:10" ht="15">
      <c r="H457" s="121"/>
      <c r="I457" s="121"/>
      <c r="J457" s="121"/>
    </row>
    <row r="458" spans="8:10" ht="15">
      <c r="H458" s="121"/>
      <c r="I458" s="121"/>
      <c r="J458" s="121"/>
    </row>
    <row r="459" spans="8:10" ht="15">
      <c r="H459" s="121"/>
      <c r="I459" s="121"/>
      <c r="J459" s="121"/>
    </row>
    <row r="460" spans="8:10" ht="15">
      <c r="H460" s="121"/>
      <c r="I460" s="121"/>
      <c r="J460" s="121"/>
    </row>
    <row r="461" spans="8:10" ht="15">
      <c r="H461" s="121"/>
      <c r="I461" s="121"/>
      <c r="J461" s="121"/>
    </row>
    <row r="462" spans="8:10" ht="15">
      <c r="H462" s="121"/>
      <c r="I462" s="121"/>
      <c r="J462" s="121"/>
    </row>
    <row r="463" spans="8:10" ht="15">
      <c r="H463" s="121"/>
      <c r="I463" s="121"/>
      <c r="J463" s="121"/>
    </row>
    <row r="464" spans="8:10" ht="15">
      <c r="H464" s="121"/>
      <c r="I464" s="121"/>
      <c r="J464" s="121"/>
    </row>
    <row r="465" spans="8:10" ht="15">
      <c r="H465" s="121"/>
      <c r="I465" s="121"/>
      <c r="J465" s="121"/>
    </row>
    <row r="466" spans="8:10" ht="15">
      <c r="H466" s="121"/>
      <c r="I466" s="121"/>
      <c r="J466" s="121"/>
    </row>
    <row r="467" spans="8:10" ht="15">
      <c r="H467" s="121"/>
      <c r="I467" s="121"/>
      <c r="J467" s="121"/>
    </row>
    <row r="468" spans="8:10" ht="15">
      <c r="H468" s="121"/>
      <c r="I468" s="121"/>
      <c r="J468" s="121"/>
    </row>
    <row r="469" spans="8:10" ht="15">
      <c r="H469" s="121"/>
      <c r="I469" s="121"/>
      <c r="J469" s="121"/>
    </row>
    <row r="470" spans="8:10" ht="15">
      <c r="H470" s="121"/>
      <c r="I470" s="121"/>
      <c r="J470" s="121"/>
    </row>
    <row r="471" spans="8:10" ht="15">
      <c r="H471" s="121"/>
      <c r="I471" s="121"/>
      <c r="J471" s="121"/>
    </row>
    <row r="472" spans="8:10" ht="15">
      <c r="H472" s="121"/>
      <c r="I472" s="121"/>
      <c r="J472" s="121"/>
    </row>
    <row r="473" spans="8:10" ht="15">
      <c r="H473" s="121"/>
      <c r="I473" s="121"/>
      <c r="J473" s="121"/>
    </row>
    <row r="474" spans="8:10" ht="15">
      <c r="H474" s="121"/>
      <c r="I474" s="121"/>
      <c r="J474" s="121"/>
    </row>
    <row r="475" spans="8:10" ht="15">
      <c r="H475" s="121"/>
      <c r="I475" s="121"/>
      <c r="J475" s="121"/>
    </row>
    <row r="476" spans="8:10" ht="15">
      <c r="H476" s="121"/>
      <c r="I476" s="121"/>
      <c r="J476" s="121"/>
    </row>
    <row r="477" spans="8:10" ht="15">
      <c r="H477" s="121"/>
      <c r="I477" s="121"/>
      <c r="J477" s="121"/>
    </row>
  </sheetData>
  <sheetProtection algorithmName="SHA-512" hashValue="avgq8Kuban9DC5JroOj/gnSFmASD4i5umr7RNY8h5qEZJATWR3R43NoJo7IkM8Boszd/U+K5wlXOiKI3/DK59w==" saltValue="NlxduPYXRqOBnrQLsoMh5A==" spinCount="100000" sheet="1" objects="1" scenarios="1"/>
  <mergeCells count="133">
    <mergeCell ref="N103:O103"/>
    <mergeCell ref="N92:O92"/>
    <mergeCell ref="N93:O93"/>
    <mergeCell ref="N94:O94"/>
    <mergeCell ref="N95:O95"/>
    <mergeCell ref="N96:O96"/>
    <mergeCell ref="N97:O97"/>
    <mergeCell ref="N86:O86"/>
    <mergeCell ref="N87:O87"/>
    <mergeCell ref="N88:O88"/>
    <mergeCell ref="N89:O89"/>
    <mergeCell ref="N90:O90"/>
    <mergeCell ref="N91:O91"/>
    <mergeCell ref="N98:O98"/>
    <mergeCell ref="N99:O99"/>
    <mergeCell ref="N100:O100"/>
    <mergeCell ref="N101:O101"/>
    <mergeCell ref="N102:O102"/>
    <mergeCell ref="N110:O110"/>
    <mergeCell ref="N111:O111"/>
    <mergeCell ref="N112:O112"/>
    <mergeCell ref="N113:O113"/>
    <mergeCell ref="N114:O114"/>
    <mergeCell ref="N115:O115"/>
    <mergeCell ref="N104:O104"/>
    <mergeCell ref="N105:O105"/>
    <mergeCell ref="N106:O106"/>
    <mergeCell ref="N107:O107"/>
    <mergeCell ref="N108:O108"/>
    <mergeCell ref="N109:O109"/>
    <mergeCell ref="N133:O133"/>
    <mergeCell ref="N122:O122"/>
    <mergeCell ref="N123:O123"/>
    <mergeCell ref="N124:O124"/>
    <mergeCell ref="N125:O125"/>
    <mergeCell ref="N126:O126"/>
    <mergeCell ref="N127:O127"/>
    <mergeCell ref="N116:O116"/>
    <mergeCell ref="N117:O117"/>
    <mergeCell ref="N118:O118"/>
    <mergeCell ref="N119:O119"/>
    <mergeCell ref="N120:O120"/>
    <mergeCell ref="N121:O121"/>
    <mergeCell ref="N128:O128"/>
    <mergeCell ref="N129:O129"/>
    <mergeCell ref="N130:O130"/>
    <mergeCell ref="N131:O131"/>
    <mergeCell ref="N132:O132"/>
    <mergeCell ref="N148:O148"/>
    <mergeCell ref="N140:O140"/>
    <mergeCell ref="N141:O141"/>
    <mergeCell ref="N142:O142"/>
    <mergeCell ref="N143:O143"/>
    <mergeCell ref="N144:O144"/>
    <mergeCell ref="N145:O145"/>
    <mergeCell ref="N134:O134"/>
    <mergeCell ref="N135:O135"/>
    <mergeCell ref="N136:O136"/>
    <mergeCell ref="N137:O137"/>
    <mergeCell ref="N138:O138"/>
    <mergeCell ref="N139:O139"/>
    <mergeCell ref="N146:O146"/>
    <mergeCell ref="N147:O147"/>
    <mergeCell ref="N80:O80"/>
    <mergeCell ref="N81:O81"/>
    <mergeCell ref="N82:O82"/>
    <mergeCell ref="N83:O83"/>
    <mergeCell ref="N84:O84"/>
    <mergeCell ref="N85:O85"/>
    <mergeCell ref="N74:O74"/>
    <mergeCell ref="N75:O75"/>
    <mergeCell ref="N76:O76"/>
    <mergeCell ref="N77:O77"/>
    <mergeCell ref="N78:O78"/>
    <mergeCell ref="N79:O79"/>
    <mergeCell ref="N68:O68"/>
    <mergeCell ref="N69:O69"/>
    <mergeCell ref="N70:O70"/>
    <mergeCell ref="N71:O71"/>
    <mergeCell ref="N72:O72"/>
    <mergeCell ref="N73:O73"/>
    <mergeCell ref="N62:O62"/>
    <mergeCell ref="N63:O63"/>
    <mergeCell ref="N64:O64"/>
    <mergeCell ref="N65:O65"/>
    <mergeCell ref="N66:O66"/>
    <mergeCell ref="N67:O67"/>
    <mergeCell ref="N56:O56"/>
    <mergeCell ref="N57:O57"/>
    <mergeCell ref="N58:O58"/>
    <mergeCell ref="N59:O59"/>
    <mergeCell ref="N60:O60"/>
    <mergeCell ref="N61:O61"/>
    <mergeCell ref="N50:O50"/>
    <mergeCell ref="N51:O51"/>
    <mergeCell ref="N52:O52"/>
    <mergeCell ref="N53:O53"/>
    <mergeCell ref="N54:O54"/>
    <mergeCell ref="N55:O55"/>
    <mergeCell ref="N44:O44"/>
    <mergeCell ref="N45:O45"/>
    <mergeCell ref="N46:O46"/>
    <mergeCell ref="N47:O47"/>
    <mergeCell ref="N48:O48"/>
    <mergeCell ref="N49:O49"/>
    <mergeCell ref="N30:O30"/>
    <mergeCell ref="N31:O31"/>
    <mergeCell ref="N38:O38"/>
    <mergeCell ref="N39:O39"/>
    <mergeCell ref="N40:O40"/>
    <mergeCell ref="N41:O41"/>
    <mergeCell ref="N42:O42"/>
    <mergeCell ref="N43:O43"/>
    <mergeCell ref="N32:O32"/>
    <mergeCell ref="N33:O33"/>
    <mergeCell ref="N34:O34"/>
    <mergeCell ref="N35:O35"/>
    <mergeCell ref="N36:O36"/>
    <mergeCell ref="N37:O37"/>
    <mergeCell ref="H28:L28"/>
    <mergeCell ref="D2:Q3"/>
    <mergeCell ref="L12:Q12"/>
    <mergeCell ref="Q7:Q9"/>
    <mergeCell ref="L11:Q11"/>
    <mergeCell ref="H23:H25"/>
    <mergeCell ref="H20:H22"/>
    <mergeCell ref="J20:J22"/>
    <mergeCell ref="H17:H19"/>
    <mergeCell ref="H14:H16"/>
    <mergeCell ref="J14:J15"/>
    <mergeCell ref="B11:H11"/>
    <mergeCell ref="N28:R28"/>
    <mergeCell ref="F4:R4"/>
  </mergeCells>
  <conditionalFormatting sqref="L32:M32 L34:M34 L36:M36 L38:M38 L40:M40 L42:M42 L44:M44 L46:M46 L48:M48 L50:M50 L52:M52 L54:M54 L56:M56 L58:M58 L60:M60 L62:M62 L64:M64 L66:M66 L68:M68 L70:M70 L72:M72 L74:M74 L76:M76 L78:M78 L80:M80 L82:M82 L84:M84 L86:M86 L88:M88 L90:M90 L92:M92 L94:M94 L96:M96 L98:M98 L100:M100 L102:M102 L104:M104 L106:M106 L108:M108 L110:M110 L112:M112 L114:M114 L116:M116 L118:M118 L120:M120 L122:M122 L124:M124 L126:M126 L128:M128 L130:M130 L132:M132 L134:M134 L136:M136 L138:M138 L140:M140 L142:M142 L144:M144 L146:M146 L148:M148 P148 P146 P144 P142 P140 P138 P136 P134 P132 P130 P128 P126 P124 P122 P120 P118 P116 P114 P112 P110 P108 P106 P104 P102 P100 P98 P96 P94 P92 P90 P88 P86 P84 P82 P80 P78 P76 P74 P72 P70 P68 P66 P64 P62 P60 P58 P56 P54 P52 P50 P48 P46 P44 P42 P40 P38 P36 P34 P32 R32 R34 R36 R38 R40 R42 R44 R46 R48 R50 R52 R54 R56 R58 R60 R62 R64 R66 R68 R70 R72 R74 R76 R78 R80 R82 R84 R86 R88 R90 R92 R94 R96 R98 R100 R102 R104 R106 R108 R110 R112 R114 R116 R118 R120 R122 R124 R126 R128 R130 R132 R134 R136 R138 R140 R142 R144 R146 R148 T148 T146 T144 T142 T140 T138 T136 T134 T132 T130 T128 T126 T124 T122 T120 T118 T116 T114 T112 T110 T108 T106 T104 T102 T100 T98 T96 T94 T92 T90 T88 T86 T84 T82 T80 T78 T76 T74 T72 T70 T68 T66 T64 T62 T60 T58 T56 T54 T52 T50 T48 T46 T44 T42 T40 T38 T36 T34 T32">
    <cfRule type="notContainsBlanks" priority="68" dxfId="1">
      <formula>LEN(TRIM(L32))&gt;0</formula>
    </cfRule>
  </conditionalFormatting>
  <conditionalFormatting sqref="U32:V32 U34:V34 U36:V36 U38:V38 U40:V40 U42:V42 U44:V44 U46:V46 U48:V48 U50:V50 U52:V52 U54:V54 U56:V56 U58:V58 U60:V60 U62:V62 U64:V64 U66:V66 U68:V68 U70:V70 U72:V72 U74:V74 U76:V76 U78:V78 U80:V80 U82:V82 U84:V84 U86:V86 U88:V88 U90:V90 U92:V92 U94:V94 U96:V96 U98:V98 U100:V100 U102:V102 U104:V104 U106:V106 U108:V108 U110:V110 U112:V112 U114:V114 U116:V116 U118:V118 U120:V120 U122:V122 U124:V124 U126:V126 U128:V128 U130:V130 U132:V132 U134:V134 U136:V136 U138:V138 U140:V140 U142:V142 U144:V144 U146:V146 U148:V148">
    <cfRule type="notContainsBlanks" priority="69" dxfId="1">
      <formula>LEN(TRIM(U32))&gt;0</formula>
    </cfRule>
  </conditionalFormatting>
  <conditionalFormatting sqref="X32 X34 X36 X38 X40 X42 X44 X46 X48 X50 X52 X54 X56 X58 X60 X62 X64 X66 X68 X70 X72 X74 X76 X78 X80 X82 X84 X86 X88 X90 X92 X94 X96 X98 X100 X102 X104 X106 X108 X110 X112 X114 X116 X118 X120 X122 X124 X126 X128 X130 X132 X134 X136 X138 X140 X142 X144 X146 X148">
    <cfRule type="notContainsBlanks" priority="70" dxfId="1">
      <formula>LEN(TRIM(X32))&gt;0</formula>
    </cfRule>
  </conditionalFormatting>
  <conditionalFormatting sqref="B32 B34 B36 B38 B40 B42 B44 B46 B48 B50 B52 B54 B56 B58 B60 B62 B64 B66 B68 B70 B72 B74 B76 B78 B80 B82 B84 B86 B88 B90 B92 B94 B96 B98 B100 B102 B104 B106 B108 B110 B112 B114 B116 B118 B120 B122 B124 B126 B128 B130 B132 B134 B136 B138 B140 B142 B144 B146 B148">
    <cfRule type="notContainsBlanks" priority="71" dxfId="1">
      <formula>LEN(TRIM(B32))&gt;0</formula>
    </cfRule>
  </conditionalFormatting>
  <conditionalFormatting sqref="Y32 Y34 Y36 Y38 Y40 Y42 Y44 Y46 Y48 Y50 Y52 Y54 Y56 Y58 Y60 Y62 Y64 Y66 Y68 Y70 Y72 Y74 Y76 Y78 Y80 Y82 Y84 Y86 Y88 Y90 Y92 Y94 Y96 Y98 Y100 Y102 Y104 Y106 Y108 Y110 Y112 Y114 Y116 Y118 Y120 Y122 Y124 Y126 Y128 Y130 Y132 Y134 Y136 Y138 Y140 Y142 Y144 Y146 Y148">
    <cfRule type="notContainsBlanks" priority="80" dxfId="1">
      <formula>LEN(TRIM(Y32))&gt;0</formula>
    </cfRule>
  </conditionalFormatting>
  <conditionalFormatting sqref="D32 D34 D36 D38 D40 D42 D44 D46 D48 D50 D52 D54 D56 D58 D60 D62 D64 D66 D68 D70 D72 D74 D76 D78 D80 D82 D84 D86 D88 D90 D92 D94 D96 D98 D100 D102 D104 D106 D108 D110 D112 D114 D116 D118 D120 D122 D124 D126 D128 D130 D132 D134 D136 D138 D140 D142 D144 D146 D148 K148 K146 K144 K142 K140 K138 K136 K134 K132 K130 K128 K126 K124 K122 K120 K118 K116 K114 K112 K110 K108 K106 K104 K102 K100 K98 K96 K94 K92 K90 K88 K86 K84 K82 K80 K78 K76 K74 K72 K70 K68 K66 K64 K62 K60 K58 K56 K54 K52 K50 K48 K46 K44 K42 K40 K38 K36 K34 K32 F32:G32 F34:G34 F36:G36 F38:G38 F40:G40 F42:G42 F44:G44 F46:G46 F48:G48 F50:G50 F52:G52 F54:G54 F56:G56 F58:G58 F60:G60 F62:G62 F64:G64 F66:G66 F68:G68 F70:G70 F72:G72 F74:G74 F76:G76 F78:G78 F80:G80 F82:G82 F84:G84 F86:G86 F88:G88 F90:G90 F92:G92 F94:G94 F96:G96 F98:G98 F100:G100 F102:G102 F104:G104 F106:G106 F108:G108 F110:G110 F112:G112 F114:G114 F116:G116 F118:G118 F120:G120 F122:G122 F124:G124 F126:G126 F128:G128 F130:G130 F132:G132 F134:G134 F136:G136 F138:G138 F140:G140 F142:G142 F144:G144 F146:G146 F148:G148 I32:I148">
    <cfRule type="notContainsBlanks" priority="66" dxfId="1">
      <formula>LEN(TRIM(D32))&gt;0</formula>
    </cfRule>
  </conditionalFormatting>
  <conditionalFormatting sqref="Q32 Q34 Q36 Q38 Q40 Q42 Q44 Q46 Q48 Q50 Q52 Q54 Q56 Q58 Q60 Q62 Q64 Q66 Q68 Q70 Q72 Q74 Q76 Q78 Q80 Q82 Q84 Q86 Q88 Q90 Q92 Q94 Q96 Q98 Q100 Q102 Q104 Q106 Q108 Q110 Q112 Q114 Q116 Q118 Q120 Q122 Q124 Q126 Q128 Q130 Q132 Q134 Q136 Q138 Q140 Q142 Q144 Q146 Q148">
    <cfRule type="notContainsBlanks" priority="72" dxfId="1">
      <formula>LEN(TRIM(Q32))&gt;0</formula>
    </cfRule>
  </conditionalFormatting>
  <conditionalFormatting sqref="S32 S34 S36 S38 S40 S42 S44 S46 S48 S50 S52 S54 S56 S58 S60 S62 S64 S66 S68 S70 S72 S74 S76 S78 S80 S82 S84 S86 S88 S90 S92 S94 S96 S98 S100 S102 S104 S106 S108 S110 S112 S114 S116 S118 S120 S122 S124 S126 S128 S130 S132 S134 S136 S138 S140 S142 S144 S146 S148">
    <cfRule type="notContainsBlanks" priority="73" dxfId="1">
      <formula>LEN(TRIM(S32))&gt;0</formula>
    </cfRule>
  </conditionalFormatting>
  <conditionalFormatting sqref="S30 U30">
    <cfRule type="notContainsBlanks" priority="91" dxfId="0">
      <formula>LEN(TRIM(S30))&gt;0</formula>
    </cfRule>
  </conditionalFormatting>
  <conditionalFormatting sqref="W32 W34 W36 W38 W40 W42 W44 W46 W48 W50 W52 W54 W56 W58 W60 W62 W64 W66 W68 W70 W72 W74 W76 W78 W80 W82 W84 W86 W88 W90 W92 W94 W96 W98 W100 W102 W104 W106 W108 W110 W112 W114 W116 W118 W120 W122 W124 W126 W128 W130 W132 W134 W136 W138 W140 W142 W144 W146 W148">
    <cfRule type="notContainsBlanks" priority="89" dxfId="1">
      <formula>LEN(TRIM(W32))&gt;0</formula>
    </cfRule>
  </conditionalFormatting>
  <conditionalFormatting sqref="L31:L148 Q31:Q148">
    <cfRule type="iconSet" priority="32">
      <iconSet iconSet="3Arrows">
        <cfvo type="percent" val="0"/>
        <cfvo type="num" val="100"/>
        <cfvo gte="0" type="num" val="100"/>
      </iconSet>
    </cfRule>
  </conditionalFormatting>
  <conditionalFormatting sqref="AC32 AC34 AC36 AC38 AC40 AC42 AC44 AC46 AC48 AC50 AC52 AC54 AC56 AC58 AC60 AC62 AC64 AC66 AC68 AC70 AC72 AC74 AC76 AC78 AC80 AC82 AC84 AC86 AC88 AC90 AC92 AC94 AC96 AC98 AC100 AC102 AC104 AC106 AC108 AC110 AC112 AC114 AC116 AC118 AC120 AC122 AC124 AC126 AC128 AC130 AC132 AC134 AC136 AC138 AC140 AC142 AC144 AC146 AC148 AA32 AA34 AA36 AA38 AA40 AA42 AA44 AA46 AA48 AA50 AA52 AA54 AA56 AA58 AA60 AA62 AA64 AA66 AA68 AA70 AA72 AA74 AA76 AA78 AA80 AA82 AA84 AA86 AA88 AA90 AA92 AA94 AA96 AA98 AA100 AA102 AA104 AA106 AA108 AA110 AA112 AA114 AA116 AA118 AA120 AA122 AA124 AA126 AA128 AA130 AA132 AA134 AA136 AA138 AA140 AA142 AA144 AA146 AA148">
    <cfRule type="notContainsBlanks" priority="86" dxfId="1">
      <formula>LEN(TRIM(AA32))&gt;0</formula>
    </cfRule>
  </conditionalFormatting>
  <conditionalFormatting sqref="AC30 AA30 Y30 W30">
    <cfRule type="notContainsBlanks" priority="92" dxfId="0">
      <formula>LEN(TRIM(W30))&gt;0</formula>
    </cfRule>
  </conditionalFormatting>
  <conditionalFormatting sqref="AE32 AE34 AE36 AE38 AE40 AE42 AE44 AE46 AE48 AE50 AE52 AE54 AE56 AE58 AE60 AE62 AE64 AE66 AE68 AE70 AE72 AE74 AE76 AE78 AE80 AE82 AE84 AE86 AE88 AE90 AE92 AE94 AE96 AE98 AE100 AE102 AE104 AE106 AE108 AE110 AE112 AE114 AE116 AE118 AE120 AE122 AE124 AE126 AE128 AE130 AE132 AE134 AE136 AE138 AE140 AE142 AE144 AE146 AE148">
    <cfRule type="notContainsBlanks" priority="75" dxfId="1">
      <formula>LEN(TRIM(AE32))&gt;0</formula>
    </cfRule>
  </conditionalFormatting>
  <conditionalFormatting sqref="AE30">
    <cfRule type="notContainsBlanks" priority="93" dxfId="0">
      <formula>LEN(TRIM(AE30))&gt;0</formula>
    </cfRule>
  </conditionalFormatting>
  <conditionalFormatting sqref="AG32 AG34 AG36 AG38 AG40 AG42 AG44 AG46 AG48 AG50 AG52 AG54 AG56 AG58 AG60 AG62 AG64 AG66 AG68 AG70 AG72 AG74 AG76 AG78 AG80 AG82 AG84 AG86 AG88 AG90 AG92 AG94 AG96 AG98 AG100 AG102 AG104 AG106 AG108 AG110 AG112 AG114 AG116 AG118 AG120 AG122 AG124 AG126 AG128 AG130 AG132 AG134 AG136 AG138 AG140 AG142 AG144 AG146 AG148">
    <cfRule type="notContainsBlanks" priority="13" dxfId="1">
      <formula>LEN(TRIM(AG32))&gt;0</formula>
    </cfRule>
  </conditionalFormatting>
  <conditionalFormatting sqref="AG30">
    <cfRule type="notContainsBlanks" priority="14" dxfId="0">
      <formula>LEN(TRIM(AG30))&gt;0</formula>
    </cfRule>
  </conditionalFormatting>
  <conditionalFormatting sqref="AI32 AI34 AI36 AI38 AI40 AI42 AI44 AI46 AI48 AI50 AI52 AI54 AI56 AI58 AI60 AI62 AI64 AI66 AI68 AI70 AI72 AI74 AI76 AI78 AI80 AI82 AI84 AI86 AI88 AI90 AI92 AI94 AI96 AI98 AI100 AI102 AI104 AI106 AI108 AI110 AI112 AI114 AI116 AI118 AI120 AI122 AI124 AI126 AI128 AI130 AI132 AI134 AI136 AI138 AI140 AI142 AI144 AI146 AI148">
    <cfRule type="notContainsBlanks" priority="9" dxfId="1">
      <formula>LEN(TRIM(AI32))&gt;0</formula>
    </cfRule>
  </conditionalFormatting>
  <conditionalFormatting sqref="AI30">
    <cfRule type="notContainsBlanks" priority="10" dxfId="0">
      <formula>LEN(TRIM(AI30))&gt;0</formula>
    </cfRule>
  </conditionalFormatting>
  <conditionalFormatting sqref="AK32 AK34 AK36 AK38 AK40 AK42 AK44 AK46 AK48 AK50 AK52 AK54 AK56 AK58 AK60 AK62 AK64 AK66 AK68 AK70 AK72 AK74 AK76 AK78 AK80 AK82 AK84 AK86 AK88 AK90 AK92 AK94 AK96 AK98 AK100 AK102 AK104 AK106 AK108 AK110 AK112 AK114 AK116 AK118 AK120 AK122 AK124 AK126 AK128 AK130 AK132 AK134 AK136 AK138 AK140 AK142 AK144 AK146 AK148">
    <cfRule type="notContainsBlanks" priority="5" dxfId="1">
      <formula>LEN(TRIM(AK32))&gt;0</formula>
    </cfRule>
  </conditionalFormatting>
  <conditionalFormatting sqref="AK30">
    <cfRule type="notContainsBlanks" priority="6" dxfId="0">
      <formula>LEN(TRIM(AK30))&gt;0</formula>
    </cfRule>
  </conditionalFormatting>
  <conditionalFormatting sqref="H148">
    <cfRule type="notContainsBlanks" priority="4" dxfId="1">
      <formula>LEN(TRIM(H148))&gt;0</formula>
    </cfRule>
  </conditionalFormatting>
  <conditionalFormatting sqref="J148">
    <cfRule type="notContainsBlanks" priority="3" dxfId="1">
      <formula>LEN(TRIM(J148))&gt;0</formula>
    </cfRule>
  </conditionalFormatting>
  <conditionalFormatting sqref="H32 H34 H36 H38 H40 H42 H44 H46 H48 H50 H52 H54 H56 H58 H60 H62 H64 H66 H68 H70 H72 H74 H76 H78 H80 H82 H84 H86 H88 H90 H92 H94 H96 H98 H100 H102 H104 H106 H108 H110 H112 H114 H116 H118 H120 H122 H124 H126 H128 H130 H132 H134 H136 H138 H140 H142 H144 H146">
    <cfRule type="notContainsBlanks" priority="2" dxfId="1">
      <formula>LEN(TRIM(H32))&gt;0</formula>
    </cfRule>
  </conditionalFormatting>
  <conditionalFormatting sqref="J32 J34 J36 J38 J40 J42 J44 J46 J48 J50 J52 J54 J56 J58 J60 J62 J64 J66 J68 J70 J72 J74 J76 J78 J80 J82 J84 J86 J88 J90 J92 J94 J96 J98 J100 J102 J104 J106 J108 J110 J112 J114 J116 J118 J120 J122 J124 J126 J128 J130 J132 J134 J136 J138 J140 J142 J144 J146">
    <cfRule type="notContainsBlanks" priority="1" dxfId="1">
      <formula>LEN(TRIM(J32))&gt;0</formula>
    </cfRule>
  </conditionalFormatting>
  <printOptions/>
  <pageMargins left="0.7" right="0.7" top="0.75" bottom="0.75" header="0.3" footer="0.3"/>
  <pageSetup horizontalDpi="600" verticalDpi="600" orientation="landscape" paperSize="9" r:id="rId11"/>
  <drawing r:id="rId3"/>
  <legacyDrawing r:id="rId2"/>
  <extLst>
    <ext xmlns:x14="http://schemas.microsoft.com/office/spreadsheetml/2009/9/main" uri="{05C60535-1F16-4fd2-B633-F4F36F0B64E0}">
      <x14:sparklineGroups xmlns:xm="http://schemas.microsoft.com/office/excel/2006/main">
        <x14:sparklineGroup manualMin="1" lineWeight="1" displayEmptyCellsAs="gap" markers="1" minAxisType="custom">
          <x14:colorSeries theme="8" tint="-0.249977111117893"/>
          <x14:colorNegative theme="6"/>
          <x14:colorAxis rgb="FF000000"/>
          <x14:colorMarkers theme="8" tint="-0.499984740745262"/>
          <x14:colorFirst theme="5" tint="0.39997558519241921"/>
          <x14:colorLast theme="5" tint="0.39997558519241921"/>
          <x14:colorHigh theme="4" tint="-0.499984740745262"/>
          <x14:colorLow theme="5"/>
          <x14:sparklines>
            <x14:sparkline>
              <xm:f>'Tabela PW'!AC2:AL2</xm:f>
              <xm:sqref>N31</xm:sqref>
            </x14:sparkline>
            <x14:sparkline>
              <xm:f>'Tabela PW'!AC3:AL3</xm:f>
              <xm:sqref>N32</xm:sqref>
            </x14:sparkline>
            <x14:sparkline>
              <xm:f>'Tabela PW'!AC4:AL4</xm:f>
              <xm:sqref>N33</xm:sqref>
            </x14:sparkline>
            <x14:sparkline>
              <xm:f>'Tabela PW'!AC5:AL5</xm:f>
              <xm:sqref>N34</xm:sqref>
            </x14:sparkline>
            <x14:sparkline>
              <xm:f>'Tabela PW'!AC6:AL6</xm:f>
              <xm:sqref>N35</xm:sqref>
            </x14:sparkline>
            <x14:sparkline>
              <xm:f>'Tabela PW'!AC7:AL7</xm:f>
              <xm:sqref>N36</xm:sqref>
            </x14:sparkline>
            <x14:sparkline>
              <xm:f>'Tabela PW'!AC8:AL8</xm:f>
              <xm:sqref>N37</xm:sqref>
            </x14:sparkline>
            <x14:sparkline>
              <xm:f>'Tabela PW'!AC9:AL9</xm:f>
              <xm:sqref>N38</xm:sqref>
            </x14:sparkline>
            <x14:sparkline>
              <xm:f>'Tabela PW'!AC10:AL10</xm:f>
              <xm:sqref>N39</xm:sqref>
            </x14:sparkline>
            <x14:sparkline>
              <xm:f>'Tabela PW'!AC11:AL11</xm:f>
              <xm:sqref>N40</xm:sqref>
            </x14:sparkline>
            <x14:sparkline>
              <xm:f>'Tabela PW'!AC12:AL12</xm:f>
              <xm:sqref>N41</xm:sqref>
            </x14:sparkline>
            <x14:sparkline>
              <xm:f>'Tabela PW'!AC13:AL13</xm:f>
              <xm:sqref>N42</xm:sqref>
            </x14:sparkline>
            <x14:sparkline>
              <xm:f>'Tabela PW'!AC14:AL14</xm:f>
              <xm:sqref>N43</xm:sqref>
            </x14:sparkline>
            <x14:sparkline>
              <xm:f>'Tabela PW'!AC15:AL15</xm:f>
              <xm:sqref>N44</xm:sqref>
            </x14:sparkline>
            <x14:sparkline>
              <xm:f>'Tabela PW'!AC16:AL16</xm:f>
              <xm:sqref>N45</xm:sqref>
            </x14:sparkline>
            <x14:sparkline>
              <xm:f>'Tabela PW'!AC17:AL17</xm:f>
              <xm:sqref>N46</xm:sqref>
            </x14:sparkline>
            <x14:sparkline>
              <xm:f>'Tabela PW'!AC18:AL18</xm:f>
              <xm:sqref>N47</xm:sqref>
            </x14:sparkline>
            <x14:sparkline>
              <xm:f>'Tabela PW'!AC19:AL19</xm:f>
              <xm:sqref>N48</xm:sqref>
            </x14:sparkline>
            <x14:sparkline>
              <xm:f>'Tabela PW'!AC20:AL20</xm:f>
              <xm:sqref>N49</xm:sqref>
            </x14:sparkline>
            <x14:sparkline>
              <xm:f>'Tabela PW'!AC21:AL21</xm:f>
              <xm:sqref>N50</xm:sqref>
            </x14:sparkline>
            <x14:sparkline>
              <xm:f>'Tabela PW'!AC22:AL22</xm:f>
              <xm:sqref>N51</xm:sqref>
            </x14:sparkline>
            <x14:sparkline>
              <xm:f>'Tabela PW'!AC23:AL23</xm:f>
              <xm:sqref>N52</xm:sqref>
            </x14:sparkline>
            <x14:sparkline>
              <xm:f>'Tabela PW'!AC24:AL24</xm:f>
              <xm:sqref>N53</xm:sqref>
            </x14:sparkline>
            <x14:sparkline>
              <xm:f>'Tabela PW'!AC25:AL25</xm:f>
              <xm:sqref>N54</xm:sqref>
            </x14:sparkline>
            <x14:sparkline>
              <xm:f>'Tabela PW'!AC26:AL26</xm:f>
              <xm:sqref>N55</xm:sqref>
            </x14:sparkline>
            <x14:sparkline>
              <xm:f>'Tabela PW'!AC27:AL27</xm:f>
              <xm:sqref>N56</xm:sqref>
            </x14:sparkline>
            <x14:sparkline>
              <xm:f>'Tabela PW'!AC28:AL28</xm:f>
              <xm:sqref>N57</xm:sqref>
            </x14:sparkline>
            <x14:sparkline>
              <xm:f>'Tabela PW'!AC29:AL29</xm:f>
              <xm:sqref>N58</xm:sqref>
            </x14:sparkline>
            <x14:sparkline>
              <xm:f>'Tabela PW'!AC30:AL30</xm:f>
              <xm:sqref>N59</xm:sqref>
            </x14:sparkline>
            <x14:sparkline>
              <xm:f>'Tabela PW'!AC31:AL31</xm:f>
              <xm:sqref>N60</xm:sqref>
            </x14:sparkline>
            <x14:sparkline>
              <xm:f>'Tabela PW'!AC32:AL32</xm:f>
              <xm:sqref>N61</xm:sqref>
            </x14:sparkline>
            <x14:sparkline>
              <xm:f>'Tabela PW'!AC33:AL33</xm:f>
              <xm:sqref>N62</xm:sqref>
            </x14:sparkline>
            <x14:sparkline>
              <xm:f>'Tabela PW'!AC34:AL34</xm:f>
              <xm:sqref>N63</xm:sqref>
            </x14:sparkline>
            <x14:sparkline>
              <xm:f>'Tabela PW'!AC35:AL35</xm:f>
              <xm:sqref>N64</xm:sqref>
            </x14:sparkline>
            <x14:sparkline>
              <xm:f>'Tabela PW'!AC36:AL36</xm:f>
              <xm:sqref>N65</xm:sqref>
            </x14:sparkline>
            <x14:sparkline>
              <xm:f>'Tabela PW'!AC37:AL37</xm:f>
              <xm:sqref>N66</xm:sqref>
            </x14:sparkline>
            <x14:sparkline>
              <xm:f>'Tabela PW'!AC38:AL38</xm:f>
              <xm:sqref>N67</xm:sqref>
            </x14:sparkline>
            <x14:sparkline>
              <xm:f>'Tabela PW'!AC39:AL39</xm:f>
              <xm:sqref>N68</xm:sqref>
            </x14:sparkline>
            <x14:sparkline>
              <xm:f>'Tabela PW'!AC40:AL40</xm:f>
              <xm:sqref>N69</xm:sqref>
            </x14:sparkline>
            <x14:sparkline>
              <xm:f>'Tabela PW'!AC41:AL41</xm:f>
              <xm:sqref>N70</xm:sqref>
            </x14:sparkline>
            <x14:sparkline>
              <xm:f>'Tabela PW'!AC42:AL42</xm:f>
              <xm:sqref>N71</xm:sqref>
            </x14:sparkline>
            <x14:sparkline>
              <xm:f>'Tabela PW'!AC43:AL43</xm:f>
              <xm:sqref>N72</xm:sqref>
            </x14:sparkline>
            <x14:sparkline>
              <xm:f>'Tabela PW'!AC44:AL44</xm:f>
              <xm:sqref>N73</xm:sqref>
            </x14:sparkline>
            <x14:sparkline>
              <xm:f>'Tabela PW'!AC45:AL45</xm:f>
              <xm:sqref>N74</xm:sqref>
            </x14:sparkline>
            <x14:sparkline>
              <xm:f>'Tabela PW'!AC46:AL46</xm:f>
              <xm:sqref>N75</xm:sqref>
            </x14:sparkline>
            <x14:sparkline>
              <xm:f>'Tabela PW'!AC47:AL47</xm:f>
              <xm:sqref>N76</xm:sqref>
            </x14:sparkline>
            <x14:sparkline>
              <xm:f>'Tabela PW'!AC48:AL48</xm:f>
              <xm:sqref>N77</xm:sqref>
            </x14:sparkline>
            <x14:sparkline>
              <xm:f>'Tabela PW'!AC49:AL49</xm:f>
              <xm:sqref>N78</xm:sqref>
            </x14:sparkline>
            <x14:sparkline>
              <xm:f>'Tabela PW'!AC50:AL50</xm:f>
              <xm:sqref>N79</xm:sqref>
            </x14:sparkline>
            <x14:sparkline>
              <xm:f>'Tabela PW'!AC51:AL51</xm:f>
              <xm:sqref>N80</xm:sqref>
            </x14:sparkline>
            <x14:sparkline>
              <xm:f>'Tabela PW'!AC52:AL52</xm:f>
              <xm:sqref>N81</xm:sqref>
            </x14:sparkline>
            <x14:sparkline>
              <xm:f>'Tabela PW'!AC53:AL53</xm:f>
              <xm:sqref>N82</xm:sqref>
            </x14:sparkline>
            <x14:sparkline>
              <xm:f>'Tabela PW'!AC54:AL54</xm:f>
              <xm:sqref>N83</xm:sqref>
            </x14:sparkline>
            <x14:sparkline>
              <xm:f>'Tabela PW'!AC55:AL55</xm:f>
              <xm:sqref>N84</xm:sqref>
            </x14:sparkline>
            <x14:sparkline>
              <xm:f>'Tabela PW'!AC56:AL56</xm:f>
              <xm:sqref>N85</xm:sqref>
            </x14:sparkline>
            <x14:sparkline>
              <xm:f>'Tabela PW'!AC57:AL57</xm:f>
              <xm:sqref>N86</xm:sqref>
            </x14:sparkline>
            <x14:sparkline>
              <xm:f>'Tabela PW'!AC58:AL58</xm:f>
              <xm:sqref>N87</xm:sqref>
            </x14:sparkline>
            <x14:sparkline>
              <xm:f>'Tabela PW'!AC59:AL59</xm:f>
              <xm:sqref>N88</xm:sqref>
            </x14:sparkline>
            <x14:sparkline>
              <xm:f>'Tabela PW'!AC60:AL60</xm:f>
              <xm:sqref>N89</xm:sqref>
            </x14:sparkline>
            <x14:sparkline>
              <xm:f>'Tabela PW'!AC61:AL61</xm:f>
              <xm:sqref>N90</xm:sqref>
            </x14:sparkline>
            <x14:sparkline>
              <xm:f>'Tabela PW'!AC62:AL62</xm:f>
              <xm:sqref>N91</xm:sqref>
            </x14:sparkline>
            <x14:sparkline>
              <xm:f>'Tabela PW'!AC63:AL63</xm:f>
              <xm:sqref>N92</xm:sqref>
            </x14:sparkline>
            <x14:sparkline>
              <xm:f>'Tabela PW'!AC64:AL64</xm:f>
              <xm:sqref>N93</xm:sqref>
            </x14:sparkline>
            <x14:sparkline>
              <xm:f>'Tabela PW'!AC65:AL65</xm:f>
              <xm:sqref>N94</xm:sqref>
            </x14:sparkline>
            <x14:sparkline>
              <xm:f>'Tabela PW'!AC66:AL66</xm:f>
              <xm:sqref>N95</xm:sqref>
            </x14:sparkline>
            <x14:sparkline>
              <xm:f>'Tabela PW'!AC67:AL67</xm:f>
              <xm:sqref>N96</xm:sqref>
            </x14:sparkline>
            <x14:sparkline>
              <xm:f>'Tabela PW'!AC68:AL68</xm:f>
              <xm:sqref>N97</xm:sqref>
            </x14:sparkline>
            <x14:sparkline>
              <xm:f>'Tabela PW'!AC69:AL69</xm:f>
              <xm:sqref>N98</xm:sqref>
            </x14:sparkline>
            <x14:sparkline>
              <xm:f>'Tabela PW'!AC70:AL70</xm:f>
              <xm:sqref>N99</xm:sqref>
            </x14:sparkline>
            <x14:sparkline>
              <xm:f>'Tabela PW'!AC71:AL71</xm:f>
              <xm:sqref>N100</xm:sqref>
            </x14:sparkline>
            <x14:sparkline>
              <xm:f>'Tabela PW'!AC72:AL72</xm:f>
              <xm:sqref>N101</xm:sqref>
            </x14:sparkline>
            <x14:sparkline>
              <xm:f>'Tabela PW'!AC73:AL73</xm:f>
              <xm:sqref>N102</xm:sqref>
            </x14:sparkline>
            <x14:sparkline>
              <xm:f>'Tabela PW'!AC74:AL74</xm:f>
              <xm:sqref>N103</xm:sqref>
            </x14:sparkline>
            <x14:sparkline>
              <xm:f>'Tabela PW'!AC75:AL75</xm:f>
              <xm:sqref>N104</xm:sqref>
            </x14:sparkline>
            <x14:sparkline>
              <xm:f>'Tabela PW'!AC76:AL76</xm:f>
              <xm:sqref>N105</xm:sqref>
            </x14:sparkline>
            <x14:sparkline>
              <xm:f>'Tabela PW'!AC77:AL77</xm:f>
              <xm:sqref>N106</xm:sqref>
            </x14:sparkline>
            <x14:sparkline>
              <xm:f>'Tabela PW'!AC78:AL78</xm:f>
              <xm:sqref>N107</xm:sqref>
            </x14:sparkline>
            <x14:sparkline>
              <xm:f>'Tabela PW'!AC79:AL79</xm:f>
              <xm:sqref>N108</xm:sqref>
            </x14:sparkline>
            <x14:sparkline>
              <xm:f>'Tabela PW'!AC80:AL80</xm:f>
              <xm:sqref>N109</xm:sqref>
            </x14:sparkline>
            <x14:sparkline>
              <xm:f>'Tabela PW'!AC81:AL81</xm:f>
              <xm:sqref>N110</xm:sqref>
            </x14:sparkline>
            <x14:sparkline>
              <xm:f>'Tabela PW'!AC82:AL82</xm:f>
              <xm:sqref>N111</xm:sqref>
            </x14:sparkline>
            <x14:sparkline>
              <xm:f>'Tabela PW'!AC83:AL83</xm:f>
              <xm:sqref>N112</xm:sqref>
            </x14:sparkline>
            <x14:sparkline>
              <xm:f>'Tabela PW'!AC84:AL84</xm:f>
              <xm:sqref>N113</xm:sqref>
            </x14:sparkline>
            <x14:sparkline>
              <xm:f>'Tabela PW'!AC85:AL85</xm:f>
              <xm:sqref>N114</xm:sqref>
            </x14:sparkline>
            <x14:sparkline>
              <xm:f>'Tabela PW'!AC86:AL86</xm:f>
              <xm:sqref>N115</xm:sqref>
            </x14:sparkline>
            <x14:sparkline>
              <xm:f>'Tabela PW'!AC87:AL87</xm:f>
              <xm:sqref>N116</xm:sqref>
            </x14:sparkline>
            <x14:sparkline>
              <xm:f>'Tabela PW'!AC88:AL88</xm:f>
              <xm:sqref>N117</xm:sqref>
            </x14:sparkline>
            <x14:sparkline>
              <xm:f>'Tabela PW'!AC89:AL89</xm:f>
              <xm:sqref>N118</xm:sqref>
            </x14:sparkline>
            <x14:sparkline>
              <xm:f>'Tabela PW'!AC90:AL90</xm:f>
              <xm:sqref>N119</xm:sqref>
            </x14:sparkline>
            <x14:sparkline>
              <xm:f>'Tabela PW'!AC91:AL91</xm:f>
              <xm:sqref>N120</xm:sqref>
            </x14:sparkline>
            <x14:sparkline>
              <xm:f>'Tabela PW'!AC92:AL92</xm:f>
              <xm:sqref>N121</xm:sqref>
            </x14:sparkline>
            <x14:sparkline>
              <xm:f>'Tabela PW'!AC93:AL93</xm:f>
              <xm:sqref>N122</xm:sqref>
            </x14:sparkline>
            <x14:sparkline>
              <xm:f>'Tabela PW'!AC94:AL94</xm:f>
              <xm:sqref>N123</xm:sqref>
            </x14:sparkline>
            <x14:sparkline>
              <xm:f>'Tabela PW'!AC95:AL95</xm:f>
              <xm:sqref>N124</xm:sqref>
            </x14:sparkline>
            <x14:sparkline>
              <xm:f>'Tabela PW'!AC96:AL96</xm:f>
              <xm:sqref>N125</xm:sqref>
            </x14:sparkline>
            <x14:sparkline>
              <xm:f>'Tabela PW'!AC97:AL97</xm:f>
              <xm:sqref>N126</xm:sqref>
            </x14:sparkline>
            <x14:sparkline>
              <xm:f>'Tabela PW'!AC98:AL98</xm:f>
              <xm:sqref>N127</xm:sqref>
            </x14:sparkline>
            <x14:sparkline>
              <xm:f>'Tabela PW'!AC99:AL99</xm:f>
              <xm:sqref>N128</xm:sqref>
            </x14:sparkline>
            <x14:sparkline>
              <xm:f>'Tabela PW'!AC100:AL100</xm:f>
              <xm:sqref>N129</xm:sqref>
            </x14:sparkline>
            <x14:sparkline>
              <xm:f>'Tabela PW'!AC101:AL101</xm:f>
              <xm:sqref>N130</xm:sqref>
            </x14:sparkline>
            <x14:sparkline>
              <xm:f>'Tabela PW'!AC102:AL102</xm:f>
              <xm:sqref>N131</xm:sqref>
            </x14:sparkline>
            <x14:sparkline>
              <xm:f>'Tabela PW'!AC103:AL103</xm:f>
              <xm:sqref>N132</xm:sqref>
            </x14:sparkline>
            <x14:sparkline>
              <xm:f>'Tabela PW'!AC104:AL104</xm:f>
              <xm:sqref>N133</xm:sqref>
            </x14:sparkline>
            <x14:sparkline>
              <xm:f>'Tabela PW'!AC105:AL105</xm:f>
              <xm:sqref>N134</xm:sqref>
            </x14:sparkline>
            <x14:sparkline>
              <xm:f>'Tabela PW'!AC106:AL106</xm:f>
              <xm:sqref>N135</xm:sqref>
            </x14:sparkline>
            <x14:sparkline>
              <xm:f>'Tabela PW'!AC107:AL107</xm:f>
              <xm:sqref>N136</xm:sqref>
            </x14:sparkline>
            <x14:sparkline>
              <xm:f>'Tabela PW'!AC108:AL108</xm:f>
              <xm:sqref>N137</xm:sqref>
            </x14:sparkline>
            <x14:sparkline>
              <xm:f>'Tabela PW'!AC109:AL109</xm:f>
              <xm:sqref>N138</xm:sqref>
            </x14:sparkline>
            <x14:sparkline>
              <xm:f>'Tabela PW'!AC110:AL110</xm:f>
              <xm:sqref>N139</xm:sqref>
            </x14:sparkline>
            <x14:sparkline>
              <xm:f>'Tabela PW'!AC111:AL111</xm:f>
              <xm:sqref>N140</xm:sqref>
            </x14:sparkline>
            <x14:sparkline>
              <xm:f>'Tabela PW'!AC112:AL112</xm:f>
              <xm:sqref>N141</xm:sqref>
            </x14:sparkline>
            <x14:sparkline>
              <xm:f>'Tabela PW'!AC113:AL113</xm:f>
              <xm:sqref>N142</xm:sqref>
            </x14:sparkline>
            <x14:sparkline>
              <xm:f>'Tabela PW'!AC114:AL114</xm:f>
              <xm:sqref>N143</xm:sqref>
            </x14:sparkline>
            <x14:sparkline>
              <xm:f>'Tabela PW'!AC115:AL115</xm:f>
              <xm:sqref>N144</xm:sqref>
            </x14:sparkline>
            <x14:sparkline>
              <xm:f>'Tabela PW'!AC116:AL116</xm:f>
              <xm:sqref>N145</xm:sqref>
            </x14:sparkline>
            <x14:sparkline>
              <xm:f>'Tabela PW'!AC117:AL117</xm:f>
              <xm:sqref>N146</xm:sqref>
            </x14:sparkline>
            <x14:sparkline>
              <xm:f>'Tabela PW'!AC118:AL118</xm:f>
              <xm:sqref>N147</xm:sqref>
            </x14:sparkline>
            <x14:sparkline>
              <xm:f>'Tabela PW'!AC119:AL119</xm:f>
              <xm:sqref>N148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6E890"/>
  </sheetPr>
  <dimension ref="A1:BG98"/>
  <sheetViews>
    <sheetView showGridLines="0" showRowColHeaders="0" zoomScale="90" zoomScaleNormal="90" workbookViewId="0" topLeftCell="A1">
      <selection activeCell="B2" sqref="B2:AM3"/>
    </sheetView>
  </sheetViews>
  <sheetFormatPr defaultColWidth="9.140625" defaultRowHeight="15"/>
  <cols>
    <col min="1" max="1" width="1.57421875" style="117" customWidth="1"/>
    <col min="2" max="2" width="4.00390625" style="117" customWidth="1"/>
    <col min="3" max="3" width="0.5625" style="117" customWidth="1"/>
    <col min="4" max="4" width="12.421875" style="117" customWidth="1"/>
    <col min="5" max="5" width="0.5625" style="117" customWidth="1"/>
    <col min="6" max="6" width="62.57421875" style="251" customWidth="1"/>
    <col min="7" max="7" width="0.5625" style="117" customWidth="1"/>
    <col min="8" max="8" width="17.8515625" style="117" customWidth="1"/>
    <col min="9" max="9" width="0.5625" style="117" customWidth="1"/>
    <col min="10" max="14" width="3.140625" style="117" customWidth="1"/>
    <col min="15" max="15" width="0.5625" style="117" customWidth="1"/>
    <col min="16" max="20" width="3.140625" style="117" customWidth="1"/>
    <col min="21" max="21" width="0.5625" style="117" customWidth="1"/>
    <col min="22" max="32" width="3.140625" style="117" customWidth="1"/>
    <col min="33" max="33" width="0.5625" style="117" customWidth="1"/>
    <col min="34" max="38" width="3.140625" style="117" customWidth="1"/>
    <col min="39" max="39" width="0.5625" style="117" customWidth="1"/>
    <col min="40" max="40" width="0.42578125" style="117" customWidth="1"/>
    <col min="41" max="41" width="13.57421875" style="119" customWidth="1"/>
    <col min="42" max="42" width="0.5625" style="119" customWidth="1"/>
    <col min="43" max="43" width="13.57421875" style="119" customWidth="1"/>
    <col min="44" max="44" width="0.5625" style="119" customWidth="1"/>
    <col min="45" max="45" width="13.57421875" style="119" customWidth="1"/>
    <col min="46" max="46" width="0.5625" style="119" customWidth="1"/>
    <col min="47" max="47" width="13.57421875" style="119" customWidth="1"/>
    <col min="48" max="48" width="0.5625" style="119" customWidth="1"/>
    <col min="49" max="49" width="13.57421875" style="119" customWidth="1"/>
    <col min="50" max="50" width="0.5625" style="119" customWidth="1"/>
    <col min="51" max="51" width="13.57421875" style="119" customWidth="1"/>
    <col min="52" max="52" width="0.5625" style="119" customWidth="1"/>
    <col min="53" max="53" width="13.57421875" style="119" customWidth="1"/>
    <col min="54" max="54" width="0.5625" style="119" customWidth="1"/>
    <col min="55" max="55" width="13.57421875" style="119" customWidth="1"/>
    <col min="56" max="56" width="0.5625" style="119" customWidth="1"/>
    <col min="57" max="57" width="13.57421875" style="119" customWidth="1"/>
    <col min="58" max="58" width="0.5625" style="119" customWidth="1"/>
    <col min="59" max="59" width="13.57421875" style="119" customWidth="1"/>
    <col min="60" max="16384" width="9.140625" style="117" customWidth="1"/>
  </cols>
  <sheetData>
    <row r="1" spans="2:59" s="107" customFormat="1" ht="3.75" customHeight="1">
      <c r="B1" s="133"/>
      <c r="C1" s="133"/>
      <c r="D1" s="133"/>
      <c r="E1" s="133"/>
      <c r="F1" s="224"/>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O1" s="110"/>
      <c r="AP1" s="110"/>
      <c r="AQ1" s="110"/>
      <c r="AR1" s="110"/>
      <c r="AS1" s="110"/>
      <c r="AT1" s="110"/>
      <c r="AU1" s="110"/>
      <c r="AV1" s="110"/>
      <c r="AW1" s="110"/>
      <c r="AX1" s="110"/>
      <c r="AY1" s="110"/>
      <c r="AZ1" s="110"/>
      <c r="BA1" s="110"/>
      <c r="BB1" s="110"/>
      <c r="BC1" s="333"/>
      <c r="BD1" s="333"/>
      <c r="BE1" s="338"/>
      <c r="BF1" s="343"/>
      <c r="BG1" s="343"/>
    </row>
    <row r="2" spans="2:59" ht="26.25" customHeight="1">
      <c r="B2" s="413" t="s">
        <v>4567</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225"/>
      <c r="AO2" s="226"/>
      <c r="AP2" s="227"/>
      <c r="AQ2" s="226"/>
      <c r="AR2" s="227"/>
      <c r="AS2" s="226"/>
      <c r="AT2" s="227"/>
      <c r="AU2" s="226"/>
      <c r="AV2" s="227"/>
      <c r="AW2" s="226"/>
      <c r="AX2" s="227"/>
      <c r="AY2" s="226"/>
      <c r="AZ2" s="227"/>
      <c r="BA2" s="226"/>
      <c r="BB2" s="227"/>
      <c r="BC2" s="226"/>
      <c r="BD2" s="227"/>
      <c r="BE2" s="226"/>
      <c r="BF2" s="227"/>
      <c r="BG2" s="226"/>
    </row>
    <row r="3" spans="2:59" ht="26.25" customHeight="1" thickBot="1">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225"/>
      <c r="AO3" s="226"/>
      <c r="AP3" s="227"/>
      <c r="AQ3" s="226"/>
      <c r="AR3" s="227"/>
      <c r="AS3" s="226"/>
      <c r="AT3" s="227"/>
      <c r="AU3" s="226"/>
      <c r="AV3" s="227"/>
      <c r="AW3" s="226"/>
      <c r="AX3" s="227"/>
      <c r="AY3" s="226"/>
      <c r="AZ3" s="227"/>
      <c r="BA3" s="226"/>
      <c r="BB3" s="227"/>
      <c r="BC3" s="226"/>
      <c r="BD3" s="227"/>
      <c r="BE3" s="226"/>
      <c r="BF3" s="227"/>
      <c r="BG3" s="226"/>
    </row>
    <row r="4" spans="4:58" ht="15.6" customHeight="1" thickBot="1">
      <c r="D4" s="139" t="s">
        <v>4604</v>
      </c>
      <c r="F4" s="117"/>
      <c r="H4" s="410" t="s">
        <v>4397</v>
      </c>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2"/>
      <c r="AM4" s="229"/>
      <c r="AN4" s="225"/>
      <c r="AP4" s="227"/>
      <c r="AR4" s="227"/>
      <c r="AT4" s="227"/>
      <c r="AV4" s="227"/>
      <c r="AX4" s="227"/>
      <c r="AZ4" s="227"/>
      <c r="BB4" s="227"/>
      <c r="BD4" s="227"/>
      <c r="BF4" s="227"/>
    </row>
    <row r="5" spans="4:58" ht="6" customHeight="1" thickBot="1">
      <c r="D5" s="228"/>
      <c r="F5" s="117"/>
      <c r="AM5" s="229"/>
      <c r="AN5" s="225"/>
      <c r="AP5" s="227"/>
      <c r="AR5" s="227"/>
      <c r="AT5" s="227"/>
      <c r="AV5" s="227"/>
      <c r="AX5" s="227"/>
      <c r="AZ5" s="227"/>
      <c r="BB5" s="227"/>
      <c r="BD5" s="227"/>
      <c r="BF5" s="227"/>
    </row>
    <row r="6" spans="2:39" ht="27.75" customHeight="1" thickTop="1">
      <c r="B6" s="252"/>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4"/>
      <c r="AM6" s="229"/>
    </row>
    <row r="7" spans="2:59" ht="11.25" customHeight="1">
      <c r="B7" s="409" t="s">
        <v>4581</v>
      </c>
      <c r="C7" s="408"/>
      <c r="D7" s="408"/>
      <c r="E7" s="408"/>
      <c r="F7" s="408"/>
      <c r="G7" s="408"/>
      <c r="H7" s="408"/>
      <c r="I7" s="230"/>
      <c r="J7" s="408" t="str">
        <f>"Produkcja sprzedana wyrobów przemysłowych wg działów w tys. zł. za "&amp;Wybrany_rok&amp;" r."</f>
        <v>Produkcja sprzedana wyrobów przemysłowych wg działów w tys. zł. za 2019 r.</v>
      </c>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230"/>
      <c r="AL7" s="255"/>
      <c r="AM7" s="231"/>
      <c r="AN7" s="232"/>
      <c r="AO7" s="233"/>
      <c r="AP7" s="233"/>
      <c r="AQ7" s="233"/>
      <c r="AR7" s="233"/>
      <c r="AS7" s="233"/>
      <c r="AT7" s="233"/>
      <c r="AU7" s="233"/>
      <c r="AV7" s="233"/>
      <c r="AW7" s="233"/>
      <c r="AX7" s="233"/>
      <c r="AY7" s="233"/>
      <c r="AZ7" s="233"/>
      <c r="BA7" s="233"/>
      <c r="BB7" s="233"/>
      <c r="BC7" s="233"/>
      <c r="BD7" s="233"/>
      <c r="BE7" s="233"/>
      <c r="BF7" s="233"/>
      <c r="BG7" s="233"/>
    </row>
    <row r="8" spans="2:59" ht="17.25" customHeight="1">
      <c r="B8" s="409"/>
      <c r="C8" s="408"/>
      <c r="D8" s="408"/>
      <c r="E8" s="408"/>
      <c r="F8" s="408"/>
      <c r="G8" s="408"/>
      <c r="H8" s="408"/>
      <c r="I8" s="230"/>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230"/>
      <c r="AL8" s="255"/>
      <c r="AM8" s="231"/>
      <c r="AO8" s="233"/>
      <c r="AP8" s="233"/>
      <c r="AQ8" s="233"/>
      <c r="AR8" s="233"/>
      <c r="AS8" s="233"/>
      <c r="AT8" s="233"/>
      <c r="AU8" s="233"/>
      <c r="AV8" s="233"/>
      <c r="AW8" s="233"/>
      <c r="AX8" s="233"/>
      <c r="AY8" s="233"/>
      <c r="AZ8" s="233"/>
      <c r="BA8" s="233"/>
      <c r="BB8" s="233"/>
      <c r="BC8" s="233"/>
      <c r="BD8" s="233"/>
      <c r="BE8" s="233"/>
      <c r="BF8" s="233"/>
      <c r="BG8" s="233"/>
    </row>
    <row r="9" spans="2:59" ht="25.5" customHeight="1">
      <c r="B9" s="256"/>
      <c r="C9" s="231"/>
      <c r="D9" s="231"/>
      <c r="E9" s="231"/>
      <c r="F9" s="231"/>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57"/>
      <c r="AM9" s="234"/>
      <c r="AO9" s="233"/>
      <c r="AP9" s="233"/>
      <c r="AQ9" s="233"/>
      <c r="AR9" s="233"/>
      <c r="AS9" s="233"/>
      <c r="AT9" s="233"/>
      <c r="AU9" s="233"/>
      <c r="AV9" s="233"/>
      <c r="AW9" s="233"/>
      <c r="AX9" s="233"/>
      <c r="AY9" s="233"/>
      <c r="AZ9" s="233"/>
      <c r="BA9" s="233"/>
      <c r="BB9" s="233"/>
      <c r="BC9" s="233"/>
      <c r="BD9" s="233"/>
      <c r="BE9" s="233"/>
      <c r="BF9" s="233"/>
      <c r="BG9" s="233"/>
    </row>
    <row r="10" spans="2:59" ht="21" customHeight="1">
      <c r="B10" s="258"/>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57"/>
      <c r="AM10" s="234"/>
      <c r="AN10" s="232"/>
      <c r="AO10" s="233"/>
      <c r="AP10" s="233"/>
      <c r="AQ10" s="233"/>
      <c r="AR10" s="233"/>
      <c r="AS10" s="233"/>
      <c r="AT10" s="233"/>
      <c r="AU10" s="233"/>
      <c r="AV10" s="233"/>
      <c r="AW10" s="233"/>
      <c r="AX10" s="233"/>
      <c r="AY10" s="233"/>
      <c r="AZ10" s="233"/>
      <c r="BA10" s="233"/>
      <c r="BB10" s="233"/>
      <c r="BC10" s="233"/>
      <c r="BD10" s="233"/>
      <c r="BE10" s="233"/>
      <c r="BF10" s="233"/>
      <c r="BG10" s="233"/>
    </row>
    <row r="11" spans="2:59" ht="21" customHeight="1">
      <c r="B11" s="258"/>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57"/>
      <c r="AM11" s="234"/>
      <c r="AN11" s="232"/>
      <c r="AO11" s="233"/>
      <c r="AP11" s="233"/>
      <c r="AQ11" s="233"/>
      <c r="AR11" s="233"/>
      <c r="AS11" s="233"/>
      <c r="AT11" s="233"/>
      <c r="AU11" s="233"/>
      <c r="AV11" s="233"/>
      <c r="AW11" s="233"/>
      <c r="AX11" s="233"/>
      <c r="AY11" s="233"/>
      <c r="AZ11" s="233"/>
      <c r="BA11" s="233"/>
      <c r="BB11" s="233"/>
      <c r="BC11" s="233"/>
      <c r="BD11" s="233"/>
      <c r="BE11" s="233"/>
      <c r="BF11" s="233"/>
      <c r="BG11" s="233"/>
    </row>
    <row r="12" spans="2:59" ht="21" customHeight="1">
      <c r="B12" s="259"/>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260"/>
      <c r="AM12" s="107"/>
      <c r="AN12" s="232"/>
      <c r="AO12" s="233"/>
      <c r="AP12" s="233"/>
      <c r="AQ12" s="233"/>
      <c r="AR12" s="233"/>
      <c r="AS12" s="233"/>
      <c r="AT12" s="233"/>
      <c r="AU12" s="233"/>
      <c r="AV12" s="233"/>
      <c r="AW12" s="233"/>
      <c r="AX12" s="233"/>
      <c r="AY12" s="233"/>
      <c r="AZ12" s="233"/>
      <c r="BA12" s="233"/>
      <c r="BB12" s="233"/>
      <c r="BC12" s="233"/>
      <c r="BD12" s="233"/>
      <c r="BE12" s="233"/>
      <c r="BF12" s="233"/>
      <c r="BG12" s="233"/>
    </row>
    <row r="13" spans="2:59" ht="21" customHeight="1">
      <c r="B13" s="261"/>
      <c r="C13" s="133"/>
      <c r="D13" s="133"/>
      <c r="E13" s="133"/>
      <c r="F13" s="224"/>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262"/>
      <c r="AM13" s="133"/>
      <c r="AN13" s="232"/>
      <c r="AO13" s="233"/>
      <c r="AP13" s="233"/>
      <c r="AQ13" s="233"/>
      <c r="AR13" s="233"/>
      <c r="AS13" s="233"/>
      <c r="AT13" s="233"/>
      <c r="AU13" s="233"/>
      <c r="AV13" s="233"/>
      <c r="AW13" s="233"/>
      <c r="AX13" s="233"/>
      <c r="AY13" s="233"/>
      <c r="AZ13" s="233"/>
      <c r="BA13" s="233"/>
      <c r="BB13" s="233"/>
      <c r="BC13" s="233"/>
      <c r="BD13" s="233"/>
      <c r="BE13" s="233"/>
      <c r="BF13" s="233"/>
      <c r="BG13" s="233"/>
    </row>
    <row r="14" spans="2:59" ht="21" customHeight="1">
      <c r="B14" s="261"/>
      <c r="C14" s="133"/>
      <c r="D14" s="133"/>
      <c r="E14" s="133"/>
      <c r="F14" s="235"/>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262"/>
      <c r="AM14" s="133"/>
      <c r="AN14" s="232"/>
      <c r="AO14" s="233"/>
      <c r="AP14" s="233"/>
      <c r="AQ14" s="233"/>
      <c r="AR14" s="233"/>
      <c r="AS14" s="233"/>
      <c r="AT14" s="233"/>
      <c r="AU14" s="233"/>
      <c r="AV14" s="233"/>
      <c r="AW14" s="233"/>
      <c r="AX14" s="233"/>
      <c r="AY14" s="233"/>
      <c r="AZ14" s="233"/>
      <c r="BA14" s="233"/>
      <c r="BB14" s="233"/>
      <c r="BC14" s="233"/>
      <c r="BD14" s="233"/>
      <c r="BE14" s="233"/>
      <c r="BF14" s="233"/>
      <c r="BG14" s="233"/>
    </row>
    <row r="15" spans="2:59" ht="21" customHeight="1">
      <c r="B15" s="261"/>
      <c r="C15" s="133"/>
      <c r="D15" s="133"/>
      <c r="E15" s="133"/>
      <c r="F15" s="224"/>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262"/>
      <c r="AM15" s="133"/>
      <c r="AN15" s="232"/>
      <c r="AO15" s="233"/>
      <c r="AP15" s="233"/>
      <c r="AQ15" s="233"/>
      <c r="AR15" s="233"/>
      <c r="AS15" s="233"/>
      <c r="AT15" s="233"/>
      <c r="AU15" s="233"/>
      <c r="AV15" s="233"/>
      <c r="AW15" s="233"/>
      <c r="AX15" s="233"/>
      <c r="AY15" s="233"/>
      <c r="AZ15" s="233"/>
      <c r="BA15" s="233"/>
      <c r="BB15" s="233"/>
      <c r="BC15" s="233"/>
      <c r="BD15" s="233"/>
      <c r="BE15" s="233"/>
      <c r="BF15" s="233"/>
      <c r="BG15" s="233"/>
    </row>
    <row r="16" spans="2:59" ht="21" customHeight="1">
      <c r="B16" s="259"/>
      <c r="C16" s="107"/>
      <c r="D16" s="107"/>
      <c r="E16" s="133"/>
      <c r="F16" s="235"/>
      <c r="G16" s="161"/>
      <c r="H16" s="236" t="s">
        <v>4535</v>
      </c>
      <c r="I16" s="133"/>
      <c r="J16" s="237" t="s">
        <v>671</v>
      </c>
      <c r="K16" s="237" t="s">
        <v>674</v>
      </c>
      <c r="L16" s="237" t="s">
        <v>676</v>
      </c>
      <c r="M16" s="237" t="s">
        <v>677</v>
      </c>
      <c r="N16" s="238">
        <v>12</v>
      </c>
      <c r="O16" s="107"/>
      <c r="P16" s="238">
        <v>13</v>
      </c>
      <c r="Q16" s="237" t="s">
        <v>680</v>
      </c>
      <c r="R16" s="237" t="s">
        <v>667</v>
      </c>
      <c r="S16" s="237" t="s">
        <v>681</v>
      </c>
      <c r="T16" s="237" t="s">
        <v>682</v>
      </c>
      <c r="U16" s="107"/>
      <c r="V16" s="237" t="s">
        <v>683</v>
      </c>
      <c r="W16" s="237" t="s">
        <v>684</v>
      </c>
      <c r="X16" s="237" t="s">
        <v>662</v>
      </c>
      <c r="Y16" s="237" t="s">
        <v>666</v>
      </c>
      <c r="Z16" s="237" t="s">
        <v>668</v>
      </c>
      <c r="AA16" s="237" t="s">
        <v>685</v>
      </c>
      <c r="AB16" s="237" t="s">
        <v>686</v>
      </c>
      <c r="AC16" s="237" t="s">
        <v>687</v>
      </c>
      <c r="AD16" s="237" t="s">
        <v>688</v>
      </c>
      <c r="AE16" s="237" t="s">
        <v>663</v>
      </c>
      <c r="AF16" s="237" t="s">
        <v>689</v>
      </c>
      <c r="AG16" s="414" t="s">
        <v>690</v>
      </c>
      <c r="AH16" s="414"/>
      <c r="AI16" s="237" t="s">
        <v>691</v>
      </c>
      <c r="AJ16" s="237" t="s">
        <v>692</v>
      </c>
      <c r="AK16" s="238">
        <v>32</v>
      </c>
      <c r="AL16" s="263"/>
      <c r="AM16" s="161"/>
      <c r="AN16" s="232"/>
      <c r="AO16" s="233"/>
      <c r="AP16" s="233"/>
      <c r="AQ16" s="233"/>
      <c r="AR16" s="233"/>
      <c r="AS16" s="233"/>
      <c r="AT16" s="233"/>
      <c r="AU16" s="233"/>
      <c r="AV16" s="233"/>
      <c r="AW16" s="233"/>
      <c r="AX16" s="233"/>
      <c r="AY16" s="233"/>
      <c r="AZ16" s="233"/>
      <c r="BA16" s="233"/>
      <c r="BB16" s="233"/>
      <c r="BC16" s="233"/>
      <c r="BD16" s="233"/>
      <c r="BE16" s="233"/>
      <c r="BF16" s="233"/>
      <c r="BG16" s="233"/>
    </row>
    <row r="17" spans="2:59" ht="21" customHeight="1">
      <c r="B17" s="261"/>
      <c r="C17" s="133"/>
      <c r="D17" s="133"/>
      <c r="E17" s="133"/>
      <c r="F17" s="235"/>
      <c r="G17" s="161"/>
      <c r="H17" s="405" t="str">
        <f>"Dynamika sprzedaży wg działów w "&amp;Wybrany_rok&amp;" r.  "&amp;Wybrany_rok-1&amp;" = 100"</f>
        <v>Dynamika sprzedaży wg działów w 2019 r.  2018 = 100</v>
      </c>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6"/>
      <c r="AM17" s="161"/>
      <c r="AN17" s="232"/>
      <c r="AO17" s="233"/>
      <c r="AP17" s="233"/>
      <c r="AQ17" s="233"/>
      <c r="AR17" s="233"/>
      <c r="AS17" s="233"/>
      <c r="AT17" s="233"/>
      <c r="AU17" s="233"/>
      <c r="AV17" s="233"/>
      <c r="AW17" s="233"/>
      <c r="AX17" s="233"/>
      <c r="AY17" s="233"/>
      <c r="AZ17" s="233"/>
      <c r="BA17" s="233"/>
      <c r="BB17" s="233"/>
      <c r="BC17" s="233"/>
      <c r="BD17" s="233"/>
      <c r="BE17" s="233"/>
      <c r="BF17" s="233"/>
      <c r="BG17" s="233"/>
    </row>
    <row r="18" spans="2:59" ht="46.5" customHeight="1">
      <c r="B18" s="261"/>
      <c r="C18" s="133"/>
      <c r="D18" s="133"/>
      <c r="E18" s="133"/>
      <c r="F18" s="235"/>
      <c r="G18" s="161"/>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6"/>
      <c r="AM18" s="161"/>
      <c r="AN18" s="232"/>
      <c r="AO18" s="233"/>
      <c r="AP18" s="233"/>
      <c r="AQ18" s="233"/>
      <c r="AR18" s="233"/>
      <c r="AS18" s="233"/>
      <c r="AT18" s="233"/>
      <c r="AU18" s="233"/>
      <c r="AV18" s="233"/>
      <c r="AW18" s="233"/>
      <c r="AX18" s="233"/>
      <c r="AY18" s="233"/>
      <c r="AZ18" s="233"/>
      <c r="BA18" s="233"/>
      <c r="BB18" s="233"/>
      <c r="BC18" s="233"/>
      <c r="BD18" s="233"/>
      <c r="BE18" s="233"/>
      <c r="BF18" s="233"/>
      <c r="BG18" s="233"/>
    </row>
    <row r="19" spans="2:59" ht="46.5" customHeight="1">
      <c r="B19" s="261"/>
      <c r="C19" s="133"/>
      <c r="D19" s="133"/>
      <c r="E19" s="133"/>
      <c r="F19" s="235"/>
      <c r="G19" s="161"/>
      <c r="H19" s="133"/>
      <c r="I19" s="107"/>
      <c r="J19" s="239"/>
      <c r="K19" s="239"/>
      <c r="L19" s="239"/>
      <c r="M19" s="239"/>
      <c r="N19" s="239"/>
      <c r="O19" s="239"/>
      <c r="P19" s="239"/>
      <c r="Q19" s="239"/>
      <c r="R19" s="239"/>
      <c r="S19" s="239"/>
      <c r="T19" s="239"/>
      <c r="U19" s="239"/>
      <c r="V19" s="239"/>
      <c r="W19" s="239"/>
      <c r="X19" s="239"/>
      <c r="Y19" s="239"/>
      <c r="Z19" s="239"/>
      <c r="AA19" s="239"/>
      <c r="AB19" s="239"/>
      <c r="AC19" s="239"/>
      <c r="AD19" s="239"/>
      <c r="AE19" s="239"/>
      <c r="AF19" s="161"/>
      <c r="AG19" s="161"/>
      <c r="AH19" s="161"/>
      <c r="AI19" s="161"/>
      <c r="AJ19" s="161"/>
      <c r="AK19" s="161"/>
      <c r="AL19" s="263"/>
      <c r="AM19" s="161"/>
      <c r="AN19" s="232"/>
      <c r="AO19" s="233"/>
      <c r="AP19" s="233"/>
      <c r="AQ19" s="233"/>
      <c r="AR19" s="233"/>
      <c r="AS19" s="233"/>
      <c r="AT19" s="233"/>
      <c r="AU19" s="233"/>
      <c r="AV19" s="233"/>
      <c r="AW19" s="233"/>
      <c r="AX19" s="233"/>
      <c r="AY19" s="233"/>
      <c r="AZ19" s="233"/>
      <c r="BA19" s="233"/>
      <c r="BB19" s="233"/>
      <c r="BC19" s="233"/>
      <c r="BD19" s="233"/>
      <c r="BE19" s="233"/>
      <c r="BF19" s="233"/>
      <c r="BG19" s="233"/>
    </row>
    <row r="20" spans="2:38" ht="46.5" customHeight="1">
      <c r="B20" s="259"/>
      <c r="C20" s="107"/>
      <c r="D20" s="107"/>
      <c r="E20" s="107"/>
      <c r="F20" s="235"/>
      <c r="G20" s="107"/>
      <c r="H20" s="133"/>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260"/>
    </row>
    <row r="21" spans="1:59" s="177" customFormat="1" ht="21" customHeight="1" thickBot="1">
      <c r="A21" s="117"/>
      <c r="B21" s="264"/>
      <c r="C21" s="265"/>
      <c r="D21" s="265"/>
      <c r="E21" s="265"/>
      <c r="F21" s="266"/>
      <c r="G21" s="267"/>
      <c r="H21" s="268" t="s">
        <v>4535</v>
      </c>
      <c r="I21" s="269"/>
      <c r="J21" s="270" t="s">
        <v>671</v>
      </c>
      <c r="K21" s="270" t="s">
        <v>674</v>
      </c>
      <c r="L21" s="270" t="s">
        <v>676</v>
      </c>
      <c r="M21" s="270" t="s">
        <v>677</v>
      </c>
      <c r="N21" s="270">
        <v>12</v>
      </c>
      <c r="O21" s="271"/>
      <c r="P21" s="270">
        <v>13</v>
      </c>
      <c r="Q21" s="270" t="s">
        <v>680</v>
      </c>
      <c r="R21" s="270" t="s">
        <v>667</v>
      </c>
      <c r="S21" s="270" t="s">
        <v>681</v>
      </c>
      <c r="T21" s="270" t="s">
        <v>682</v>
      </c>
      <c r="U21" s="271"/>
      <c r="V21" s="270" t="s">
        <v>683</v>
      </c>
      <c r="W21" s="270" t="s">
        <v>684</v>
      </c>
      <c r="X21" s="270" t="s">
        <v>662</v>
      </c>
      <c r="Y21" s="270" t="s">
        <v>666</v>
      </c>
      <c r="Z21" s="270" t="s">
        <v>668</v>
      </c>
      <c r="AA21" s="270" t="s">
        <v>685</v>
      </c>
      <c r="AB21" s="270" t="s">
        <v>686</v>
      </c>
      <c r="AC21" s="270" t="s">
        <v>687</v>
      </c>
      <c r="AD21" s="270" t="s">
        <v>688</v>
      </c>
      <c r="AE21" s="270" t="s">
        <v>663</v>
      </c>
      <c r="AF21" s="270" t="s">
        <v>689</v>
      </c>
      <c r="AG21" s="404" t="s">
        <v>690</v>
      </c>
      <c r="AH21" s="404"/>
      <c r="AI21" s="270" t="s">
        <v>691</v>
      </c>
      <c r="AJ21" s="270" t="s">
        <v>692</v>
      </c>
      <c r="AK21" s="270">
        <v>32</v>
      </c>
      <c r="AL21" s="272"/>
      <c r="AM21" s="157"/>
      <c r="AN21" s="232"/>
      <c r="AO21" s="233"/>
      <c r="AP21" s="119"/>
      <c r="AQ21" s="233"/>
      <c r="AR21" s="119"/>
      <c r="AS21" s="233"/>
      <c r="AT21" s="119"/>
      <c r="AU21" s="233"/>
      <c r="AV21" s="119"/>
      <c r="AW21" s="233"/>
      <c r="AX21" s="119"/>
      <c r="AY21" s="233"/>
      <c r="AZ21" s="119"/>
      <c r="BA21" s="233"/>
      <c r="BB21" s="119"/>
      <c r="BC21" s="233"/>
      <c r="BD21" s="119"/>
      <c r="BE21" s="233"/>
      <c r="BF21" s="119"/>
      <c r="BG21" s="233"/>
    </row>
    <row r="22" spans="1:59" s="177" customFormat="1" ht="15.75" customHeight="1" thickBot="1" thickTop="1">
      <c r="A22" s="117"/>
      <c r="B22" s="240"/>
      <c r="C22" s="240"/>
      <c r="D22" s="240"/>
      <c r="E22" s="240"/>
      <c r="F22" s="241"/>
      <c r="G22" s="157"/>
      <c r="H22" s="236"/>
      <c r="I22" s="133"/>
      <c r="J22" s="237"/>
      <c r="K22" s="237"/>
      <c r="L22" s="237"/>
      <c r="M22" s="237"/>
      <c r="N22" s="237"/>
      <c r="O22" s="242"/>
      <c r="P22" s="237"/>
      <c r="Q22" s="237"/>
      <c r="R22" s="237"/>
      <c r="S22" s="237"/>
      <c r="T22" s="237"/>
      <c r="U22" s="242"/>
      <c r="V22" s="237"/>
      <c r="W22" s="237"/>
      <c r="X22" s="237"/>
      <c r="Y22" s="237"/>
      <c r="Z22" s="237"/>
      <c r="AA22" s="237"/>
      <c r="AB22" s="237"/>
      <c r="AC22" s="237"/>
      <c r="AD22" s="237"/>
      <c r="AE22" s="237"/>
      <c r="AF22" s="237"/>
      <c r="AG22" s="243"/>
      <c r="AH22" s="243"/>
      <c r="AI22" s="237"/>
      <c r="AJ22" s="237"/>
      <c r="AK22" s="237"/>
      <c r="AL22" s="157"/>
      <c r="AM22" s="157"/>
      <c r="AN22" s="232"/>
      <c r="AO22" s="233"/>
      <c r="AP22" s="119"/>
      <c r="AQ22" s="233"/>
      <c r="AR22" s="119"/>
      <c r="AS22" s="233"/>
      <c r="AT22" s="119"/>
      <c r="AU22" s="233"/>
      <c r="AV22" s="119"/>
      <c r="AW22" s="233"/>
      <c r="AX22" s="119"/>
      <c r="AY22" s="233"/>
      <c r="AZ22" s="119"/>
      <c r="BA22" s="233"/>
      <c r="BB22" s="119"/>
      <c r="BC22" s="233"/>
      <c r="BD22" s="119"/>
      <c r="BE22" s="233"/>
      <c r="BF22" s="119"/>
      <c r="BG22" s="233"/>
    </row>
    <row r="23" spans="1:59" s="177" customFormat="1" ht="27" customHeight="1" thickBot="1">
      <c r="A23" s="117"/>
      <c r="B23" s="240"/>
      <c r="C23" s="240"/>
      <c r="D23" s="194" t="str">
        <f>"Wartość produkcji sprzedanej wybranego działu w "&amp;Wybrany_rok&amp;" r."</f>
        <v>Wartość produkcji sprzedanej wybranego działu w 2019 r.</v>
      </c>
      <c r="E23" s="240"/>
      <c r="F23" s="241"/>
      <c r="G23" s="157"/>
      <c r="H23" s="244"/>
      <c r="I23" s="157"/>
      <c r="J23" s="157"/>
      <c r="K23" s="157"/>
      <c r="L23" s="157"/>
      <c r="M23" s="157"/>
      <c r="N23" s="157"/>
      <c r="O23" s="157"/>
      <c r="P23" s="157"/>
      <c r="Q23" s="157"/>
      <c r="R23" s="157"/>
      <c r="S23" s="157"/>
      <c r="T23" s="157"/>
      <c r="U23" s="157"/>
      <c r="V23" s="396" t="s">
        <v>4598</v>
      </c>
      <c r="W23" s="397"/>
      <c r="X23" s="397"/>
      <c r="Y23" s="397"/>
      <c r="Z23" s="397"/>
      <c r="AA23" s="397"/>
      <c r="AB23" s="397"/>
      <c r="AC23" s="397"/>
      <c r="AD23" s="397"/>
      <c r="AE23" s="397"/>
      <c r="AF23" s="397"/>
      <c r="AG23" s="397"/>
      <c r="AH23" s="397"/>
      <c r="AI23" s="397"/>
      <c r="AJ23" s="397"/>
      <c r="AK23" s="397"/>
      <c r="AL23" s="398"/>
      <c r="AM23" s="157"/>
      <c r="AN23" s="232"/>
      <c r="AO23" s="233"/>
      <c r="AP23" s="119"/>
      <c r="AQ23" s="233"/>
      <c r="AR23" s="119"/>
      <c r="AS23" s="233"/>
      <c r="AT23" s="119"/>
      <c r="AU23" s="233"/>
      <c r="AV23" s="119"/>
      <c r="AW23" s="233"/>
      <c r="AX23" s="119"/>
      <c r="AY23" s="233"/>
      <c r="AZ23" s="119"/>
      <c r="BA23" s="233"/>
      <c r="BB23" s="119"/>
      <c r="BC23" s="233"/>
      <c r="BD23" s="119"/>
      <c r="BE23" s="233"/>
      <c r="BF23" s="119"/>
      <c r="BG23" s="233"/>
    </row>
    <row r="24" spans="1:59" s="177" customFormat="1" ht="3" customHeight="1">
      <c r="A24" s="117"/>
      <c r="B24" s="240"/>
      <c r="C24" s="240"/>
      <c r="D24" s="179"/>
      <c r="E24" s="240"/>
      <c r="F24" s="241"/>
      <c r="G24" s="157"/>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33"/>
      <c r="AP24" s="119"/>
      <c r="AQ24" s="233"/>
      <c r="AR24" s="119"/>
      <c r="AS24" s="233"/>
      <c r="AT24" s="119"/>
      <c r="AU24" s="233"/>
      <c r="AV24" s="119"/>
      <c r="AW24" s="233"/>
      <c r="AX24" s="119"/>
      <c r="AY24" s="233"/>
      <c r="AZ24" s="119"/>
      <c r="BA24" s="233"/>
      <c r="BB24" s="119"/>
      <c r="BC24" s="233"/>
      <c r="BD24" s="119"/>
      <c r="BE24" s="233"/>
      <c r="BF24" s="119"/>
      <c r="BG24" s="233"/>
    </row>
    <row r="25" spans="2:59" s="196" customFormat="1" ht="45.75" customHeight="1">
      <c r="B25" s="275" t="s">
        <v>21</v>
      </c>
      <c r="C25" s="199"/>
      <c r="D25" s="276" t="s">
        <v>4396</v>
      </c>
      <c r="E25" s="273"/>
      <c r="F25" s="276" t="s">
        <v>4552</v>
      </c>
      <c r="G25" s="273"/>
      <c r="H25" s="275" t="str">
        <f>"Wartość produkcji sprzedanej  w tys. zł. za rok "&amp;Wybrany_rok&amp;""</f>
        <v>Wartość produkcji sprzedanej  w tys. zł. za rok 2019</v>
      </c>
      <c r="I25" s="273"/>
      <c r="J25" s="407" t="str">
        <f>"Wartość produkcji sprzedanej w tys. zł. za poprzedni rok "&amp;Wybrany_rok-1&amp;""</f>
        <v>Wartość produkcji sprzedanej w tys. zł. za poprzedni rok 2018</v>
      </c>
      <c r="K25" s="407"/>
      <c r="L25" s="407"/>
      <c r="M25" s="407"/>
      <c r="N25" s="407"/>
      <c r="O25" s="273"/>
      <c r="P25" s="407" t="str">
        <f>"Dynamika "&amp;Wybrany_rok&amp;"
 "&amp;Wybrany_rok-1&amp;" = 100"</f>
        <v>Dynamika 2019
 2018 = 100</v>
      </c>
      <c r="Q25" s="407"/>
      <c r="R25" s="407"/>
      <c r="S25" s="407"/>
      <c r="T25" s="407"/>
      <c r="U25" s="273"/>
      <c r="V25" s="407" t="s">
        <v>4601</v>
      </c>
      <c r="W25" s="407"/>
      <c r="X25" s="407"/>
      <c r="Y25" s="407"/>
      <c r="Z25" s="407"/>
      <c r="AA25" s="407"/>
      <c r="AB25" s="407"/>
      <c r="AC25" s="407"/>
      <c r="AD25" s="407"/>
      <c r="AE25" s="407"/>
      <c r="AF25" s="407"/>
      <c r="AG25" s="273"/>
      <c r="AH25" s="407" t="s">
        <v>4596</v>
      </c>
      <c r="AI25" s="407"/>
      <c r="AJ25" s="407"/>
      <c r="AK25" s="407"/>
      <c r="AL25" s="407"/>
      <c r="AN25" s="274"/>
      <c r="AO25" s="202">
        <f>IF('Tabela PS'!$AZ$1=FALSE,"",_xlfn.IFERROR(INDEX('Tabela PS'!$AO:$AU,1,1),""))</f>
        <v>2010</v>
      </c>
      <c r="AP25" s="206"/>
      <c r="AQ25" s="202">
        <f>IF('Tabela PS'!$AZ$1=FALSE,"",_xlfn.IFERROR(INDEX('Tabela PS'!$AO:$AU,1,2),""))</f>
        <v>2011</v>
      </c>
      <c r="AR25" s="206"/>
      <c r="AS25" s="202">
        <f>IF('Tabela PS'!$AZ$1=FALSE,"",_xlfn.IFERROR(INDEX('Tabela PS'!$AO:$AU,1,3),""))</f>
        <v>2012</v>
      </c>
      <c r="AT25" s="206"/>
      <c r="AU25" s="202">
        <f>IF('Tabela PS'!$AZ$1=FALSE,"",_xlfn.IFERROR(INDEX('Tabela PS'!$AO:$AU,1,4),""))</f>
        <v>2013</v>
      </c>
      <c r="AV25" s="206"/>
      <c r="AW25" s="202">
        <f>IF('Tabela PS'!$AZ$1=FALSE,"",_xlfn.IFERROR(INDEX('Tabela PS'!$AO:$AU,1,5),""))</f>
        <v>2014</v>
      </c>
      <c r="AX25" s="206"/>
      <c r="AY25" s="202">
        <f>IF('Tabela PS'!$AZ$1=FALSE,"",_xlfn.IFERROR(INDEX('Tabela PS'!$AO:$AU,1,6),""))</f>
        <v>2015</v>
      </c>
      <c r="AZ25" s="206"/>
      <c r="BA25" s="202">
        <f>IF('Tabela PS'!$AZ$1=FALSE,"",_xlfn.IFERROR(INDEX('Tabela PS'!$AO:$AU,1,7),""))</f>
        <v>2016</v>
      </c>
      <c r="BB25" s="206"/>
      <c r="BC25" s="202">
        <f>IF('Tabela PS'!$AZ$1=FALSE,"",_xlfn.IFERROR(INDEX('Tabela PS'!$AO:$AV,1,8),""))</f>
        <v>2017</v>
      </c>
      <c r="BD25" s="206"/>
      <c r="BE25" s="202">
        <f>IF('Tabela PS'!$AZ$1=FALSE,"",_xlfn.IFERROR(INDEX('Tabela PS'!$AO:$AW,1,9),""))</f>
        <v>2018</v>
      </c>
      <c r="BF25" s="206"/>
      <c r="BG25" s="202">
        <f>IF('Tabela PS'!$AZ$1=FALSE,"",_xlfn.IFERROR(INDEX('Tabela PS'!$AO:$AX,1,10),""))</f>
        <v>2019</v>
      </c>
    </row>
    <row r="26" spans="2:59" s="182" customFormat="1" ht="22.5" customHeight="1">
      <c r="B26" s="184">
        <v>1</v>
      </c>
      <c r="C26" s="184"/>
      <c r="D26" s="184" t="str">
        <f>'Tabela PS'!AN2</f>
        <v>20</v>
      </c>
      <c r="F26" s="184" t="str">
        <f>'Tabela PS'!AM2</f>
        <v>CHEMIKALIA I WYROBY CHEMICZNE</v>
      </c>
      <c r="G26" s="183"/>
      <c r="H26" s="345">
        <f>INDEX('Tabela PS'!$AO:$AX,B26+1,Wybrany_rok-2009)</f>
        <v>69949700.1</v>
      </c>
      <c r="I26" s="246"/>
      <c r="J26" s="403">
        <f>IF(Wybrany_rok=2010,"X",INDEX('Tabela PS'!$AO:$AW,B26+1,Wybrany_rok-2010))</f>
        <v>67388819.8</v>
      </c>
      <c r="K26" s="403"/>
      <c r="L26" s="403"/>
      <c r="M26" s="403"/>
      <c r="N26" s="403"/>
      <c r="O26" s="187"/>
      <c r="P26" s="402">
        <f>_xlfn.IFERROR(IF(Wybrany_rok=2010,"X",H26/J26*100),"X")</f>
        <v>103.80015603122344</v>
      </c>
      <c r="Q26" s="402"/>
      <c r="R26" s="402"/>
      <c r="S26" s="402"/>
      <c r="T26" s="402"/>
      <c r="U26" s="247"/>
      <c r="V26" s="399"/>
      <c r="W26" s="399"/>
      <c r="X26" s="399"/>
      <c r="Y26" s="399"/>
      <c r="Z26" s="399"/>
      <c r="AA26" s="399"/>
      <c r="AB26" s="399"/>
      <c r="AC26" s="399"/>
      <c r="AD26" s="399"/>
      <c r="AE26" s="399"/>
      <c r="AF26" s="399"/>
      <c r="AG26" s="248"/>
      <c r="AH26" s="402">
        <f>INDEX('Tabela PS'!$AY:$AY,B26+1,1)</f>
        <v>158.98612054762998</v>
      </c>
      <c r="AI26" s="402"/>
      <c r="AJ26" s="402"/>
      <c r="AK26" s="402"/>
      <c r="AL26" s="402"/>
      <c r="AN26" s="245"/>
      <c r="AO26" s="188">
        <f>IF('Tabela PS'!$AZ$1=FALSE,"",_xlfn.IFERROR(INDEX('Tabela PS'!$AO:$AU,B26+1,1),""))</f>
        <v>43997362.7</v>
      </c>
      <c r="AP26" s="190"/>
      <c r="AQ26" s="188">
        <f>IF('Tabela PS'!$AZ$1=FALSE,"",_xlfn.IFERROR(INDEX('Tabela PS'!$AO:$AU,B26+1,2),""))</f>
        <v>56432043.4</v>
      </c>
      <c r="AR26" s="190"/>
      <c r="AS26" s="188">
        <f>IF('Tabela PS'!$AZ$1=FALSE,"",_xlfn.IFERROR(INDEX('Tabela PS'!$AO:$AU,B26+1,3),""))</f>
        <v>60913892.5</v>
      </c>
      <c r="AT26" s="190"/>
      <c r="AU26" s="188">
        <f>IF('Tabela PS'!$AZ$1=FALSE,"",_xlfn.IFERROR(INDEX('Tabela PS'!$AO:$AU,B26+1,4),""))</f>
        <v>61219403.5</v>
      </c>
      <c r="AV26" s="190"/>
      <c r="AW26" s="188">
        <f>IF('Tabela PS'!$AZ$1=FALSE,"",_xlfn.IFERROR(INDEX('Tabela PS'!$AO:$AU,B26+1,5),""))</f>
        <v>59023634.7</v>
      </c>
      <c r="AX26" s="190"/>
      <c r="AY26" s="188">
        <f>IF('Tabela PS'!$AZ$1=FALSE,"",_xlfn.IFERROR(INDEX('Tabela PS'!$AO:$AU,B26+1,6),""))</f>
        <v>60753386.9</v>
      </c>
      <c r="AZ26" s="190"/>
      <c r="BA26" s="188">
        <f>IF('Tabela PS'!$AZ$1=FALSE,"",_xlfn.IFERROR(INDEX('Tabela PS'!$AO:$AU,B26+1,7),""))</f>
        <v>61122833.2</v>
      </c>
      <c r="BB26" s="190"/>
      <c r="BC26" s="188">
        <f>IF('Tabela PS'!$AZ$1=FALSE,"",_xlfn.IFERROR(INDEX('Tabela PS'!$AO:$AV,B26+1,8),""))</f>
        <v>65853552.6</v>
      </c>
      <c r="BD26" s="190"/>
      <c r="BE26" s="188">
        <f>IF('Tabela PS'!$AZ$1=FALSE,"",_xlfn.IFERROR(INDEX('Tabela PS'!$AO:$AW,B26+1,9),""))</f>
        <v>67388819.8</v>
      </c>
      <c r="BF26" s="190"/>
      <c r="BG26" s="188">
        <f>IF('Tabela PS'!$AZ$1=FALSE,"",_xlfn.IFERROR(INDEX('Tabela PS'!$AO:$AX,B26+1,10),""))</f>
        <v>69949700.1</v>
      </c>
    </row>
    <row r="27" spans="2:59" s="182" customFormat="1" ht="22.5" customHeight="1">
      <c r="B27" s="184">
        <f aca="true" t="shared" si="0" ref="B27:B60">IF(F27="","",B26+1)</f>
        <v>2</v>
      </c>
      <c r="C27" s="184"/>
      <c r="D27" s="184" t="str">
        <f>_xlfn.IFERROR('Tabela PS'!AN3,"")</f>
        <v>20.1</v>
      </c>
      <c r="F27" s="184" t="str">
        <f>_xlfn.IFERROR('Tabela PS'!AM3,"")</f>
        <v>Chemikalia podstawowe, nawozy i związki azotowe, tworzywa sztuczne  i kauczuk syntetyczny w formach podstawowych</v>
      </c>
      <c r="G27" s="183"/>
      <c r="H27" s="345">
        <f>_xlfn.IFERROR(INDEX('Tabela PS'!$AO:$AX,B27+1,Wybrany_rok-2009),"")</f>
        <v>41328086.3</v>
      </c>
      <c r="I27" s="246"/>
      <c r="J27" s="403">
        <f>IF(Wybrany_rok=2010,"",_xlfn.IFERROR(INDEX('Tabela PS'!$AO:$AW,B27+1,Wybrany_rok-2010),""))</f>
        <v>40206681.8</v>
      </c>
      <c r="K27" s="403"/>
      <c r="L27" s="403"/>
      <c r="M27" s="403"/>
      <c r="N27" s="403"/>
      <c r="O27" s="187"/>
      <c r="P27" s="402">
        <f aca="true" t="shared" si="1" ref="P27:P60">_xlfn.IFERROR(IF(Wybrany_rok=2010,"",H27/J27*100),"")</f>
        <v>102.78909984558835</v>
      </c>
      <c r="Q27" s="402"/>
      <c r="R27" s="402"/>
      <c r="S27" s="402"/>
      <c r="T27" s="402"/>
      <c r="U27" s="247"/>
      <c r="V27" s="399"/>
      <c r="W27" s="399"/>
      <c r="X27" s="399"/>
      <c r="Y27" s="399"/>
      <c r="Z27" s="399"/>
      <c r="AA27" s="399"/>
      <c r="AB27" s="399"/>
      <c r="AC27" s="399"/>
      <c r="AD27" s="399"/>
      <c r="AE27" s="399"/>
      <c r="AF27" s="399"/>
      <c r="AG27" s="248"/>
      <c r="AH27" s="402">
        <f>_xlfn.IFERROR(INDEX('Tabela PS'!$AY:$AY,B27+1,1),"")</f>
        <v>148.66963313430836</v>
      </c>
      <c r="AI27" s="402"/>
      <c r="AJ27" s="402"/>
      <c r="AK27" s="402"/>
      <c r="AL27" s="402"/>
      <c r="AN27" s="245"/>
      <c r="AO27" s="188">
        <f>IF('Tabela PS'!$AZ$1=FALSE,"",_xlfn.IFERROR(INDEX('Tabela PS'!$AO:$AU,B27+1,1),""))</f>
        <v>27798606.5</v>
      </c>
      <c r="AP27" s="188"/>
      <c r="AQ27" s="188">
        <f>IF('Tabela PS'!$AZ$1=FALSE,"",_xlfn.IFERROR(INDEX('Tabela PS'!$AO:$AU,B27+1,2),""))</f>
        <v>37034302.5</v>
      </c>
      <c r="AR27" s="188"/>
      <c r="AS27" s="188">
        <f>IF('Tabela PS'!$AZ$1=FALSE,"",_xlfn.IFERROR(INDEX('Tabela PS'!$AO:$AU,B27+1,3),""))</f>
        <v>39592123.8</v>
      </c>
      <c r="AT27" s="188"/>
      <c r="AU27" s="188">
        <f>IF('Tabela PS'!$AZ$1=FALSE,"",_xlfn.IFERROR(INDEX('Tabela PS'!$AO:$AU,B27+1,4),""))</f>
        <v>39239988.5</v>
      </c>
      <c r="AV27" s="188"/>
      <c r="AW27" s="188">
        <f>IF('Tabela PS'!$AZ$1=FALSE,"",_xlfn.IFERROR(INDEX('Tabela PS'!$AO:$AU,B27+1,5),""))</f>
        <v>37274773.4</v>
      </c>
      <c r="AX27" s="188"/>
      <c r="AY27" s="188">
        <f>IF('Tabela PS'!$AZ$1=FALSE,"",_xlfn.IFERROR(INDEX('Tabela PS'!$AO:$AU,B27+1,6),""))</f>
        <v>37918407.9</v>
      </c>
      <c r="AZ27" s="188"/>
      <c r="BA27" s="188">
        <f>IF('Tabela PS'!$AZ$1=FALSE,"",_xlfn.IFERROR(INDEX('Tabela PS'!$AO:$AU,B27+1,7),""))</f>
        <v>35105048</v>
      </c>
      <c r="BB27" s="188"/>
      <c r="BC27" s="188">
        <f>IF('Tabela PS'!$AZ$1=FALSE,"",_xlfn.IFERROR(INDEX('Tabela PS'!$AO:$AV,B27+1,8),""))</f>
        <v>38806042.3</v>
      </c>
      <c r="BD27" s="188"/>
      <c r="BE27" s="188">
        <f>IF('Tabela PS'!$AZ$1=FALSE,"",_xlfn.IFERROR(INDEX('Tabela PS'!$AO:$AW,B27+1,9),""))</f>
        <v>40206681.8</v>
      </c>
      <c r="BF27" s="188"/>
      <c r="BG27" s="188">
        <f>IF('Tabela PS'!$AZ$1=FALSE,"",_xlfn.IFERROR(INDEX('Tabela PS'!$AO:$AX,B27+1,10),""))</f>
        <v>41328086.3</v>
      </c>
    </row>
    <row r="28" spans="2:59" s="182" customFormat="1" ht="22.5" customHeight="1">
      <c r="B28" s="184">
        <f t="shared" si="0"/>
        <v>3</v>
      </c>
      <c r="C28" s="184"/>
      <c r="D28" s="184" t="str">
        <f>_xlfn.IFERROR('Tabela PS'!AN4,"")</f>
        <v>20.11</v>
      </c>
      <c r="F28" s="184" t="str">
        <f>_xlfn.IFERROR('Tabela PS'!AM4,"")</f>
        <v>Gazy techniczne</v>
      </c>
      <c r="G28" s="183"/>
      <c r="H28" s="345">
        <f>_xlfn.IFERROR(INDEX('Tabela PS'!$AO:$AX,B28+1,Wybrany_rok-2009),"")</f>
        <v>1872713.6</v>
      </c>
      <c r="I28" s="246"/>
      <c r="J28" s="403">
        <f>IF(Wybrany_rok=2010,"",_xlfn.IFERROR(INDEX('Tabela PS'!$AO:$AW,B28+1,Wybrany_rok-2010),""))</f>
        <v>1702215.1</v>
      </c>
      <c r="K28" s="403"/>
      <c r="L28" s="403"/>
      <c r="M28" s="403"/>
      <c r="N28" s="403"/>
      <c r="O28" s="187"/>
      <c r="P28" s="402">
        <f t="shared" si="1"/>
        <v>110.01627232657026</v>
      </c>
      <c r="Q28" s="402"/>
      <c r="R28" s="402"/>
      <c r="S28" s="402"/>
      <c r="T28" s="402"/>
      <c r="U28" s="247"/>
      <c r="V28" s="399"/>
      <c r="W28" s="399"/>
      <c r="X28" s="399"/>
      <c r="Y28" s="399"/>
      <c r="Z28" s="399"/>
      <c r="AA28" s="399"/>
      <c r="AB28" s="399"/>
      <c r="AC28" s="399"/>
      <c r="AD28" s="399"/>
      <c r="AE28" s="399"/>
      <c r="AF28" s="399"/>
      <c r="AG28" s="248"/>
      <c r="AH28" s="402">
        <f>_xlfn.IFERROR(INDEX('Tabela PS'!$AY:$AY,B28+1,1),"")</f>
        <v>148.39187309405546</v>
      </c>
      <c r="AI28" s="402"/>
      <c r="AJ28" s="402"/>
      <c r="AK28" s="402"/>
      <c r="AL28" s="402"/>
      <c r="AN28" s="245"/>
      <c r="AO28" s="188">
        <f>IF('Tabela PS'!$AZ$1=FALSE,"",_xlfn.IFERROR(INDEX('Tabela PS'!$AO:$AU,B28+1,1),""))</f>
        <v>1262005.5</v>
      </c>
      <c r="AP28" s="249"/>
      <c r="AQ28" s="188">
        <f>IF('Tabela PS'!$AZ$1=FALSE,"",_xlfn.IFERROR(INDEX('Tabela PS'!$AO:$AU,B28+1,2),""))</f>
        <v>1434649.3</v>
      </c>
      <c r="AR28" s="249"/>
      <c r="AS28" s="188">
        <f>IF('Tabela PS'!$AZ$1=FALSE,"",_xlfn.IFERROR(INDEX('Tabela PS'!$AO:$AU,B28+1,3),""))</f>
        <v>1418949.1</v>
      </c>
      <c r="AT28" s="249"/>
      <c r="AU28" s="188">
        <f>IF('Tabela PS'!$AZ$1=FALSE,"",_xlfn.IFERROR(INDEX('Tabela PS'!$AO:$AU,B28+1,4),""))</f>
        <v>1536885.8</v>
      </c>
      <c r="AV28" s="249"/>
      <c r="AW28" s="188">
        <f>IF('Tabela PS'!$AZ$1=FALSE,"",_xlfn.IFERROR(INDEX('Tabela PS'!$AO:$AU,B28+1,5),""))</f>
        <v>1481992.8</v>
      </c>
      <c r="AX28" s="249"/>
      <c r="AY28" s="188">
        <f>IF('Tabela PS'!$AZ$1=FALSE,"",_xlfn.IFERROR(INDEX('Tabela PS'!$AO:$AU,B28+1,6),""))</f>
        <v>1536546.2</v>
      </c>
      <c r="AZ28" s="249"/>
      <c r="BA28" s="188">
        <f>IF('Tabela PS'!$AZ$1=FALSE,"",_xlfn.IFERROR(INDEX('Tabela PS'!$AO:$AU,B28+1,7),""))</f>
        <v>1493960.7</v>
      </c>
      <c r="BB28" s="119"/>
      <c r="BC28" s="188">
        <f>IF('Tabela PS'!$AZ$1=FALSE,"",_xlfn.IFERROR(INDEX('Tabela PS'!$AO:$AV,B28+1,8),""))</f>
        <v>1658796.1</v>
      </c>
      <c r="BD28" s="119"/>
      <c r="BE28" s="188">
        <f>IF('Tabela PS'!$AZ$1=FALSE,"",_xlfn.IFERROR(INDEX('Tabela PS'!$AO:$AW,B28+1,9),""))</f>
        <v>1702215.1</v>
      </c>
      <c r="BF28" s="119"/>
      <c r="BG28" s="188">
        <f>IF('Tabela PS'!$AZ$1=FALSE,"",_xlfn.IFERROR(INDEX('Tabela PS'!$AO:$AX,B28+1,10),""))</f>
        <v>1872713.6</v>
      </c>
    </row>
    <row r="29" spans="2:59" s="182" customFormat="1" ht="22.5" customHeight="1">
      <c r="B29" s="184">
        <f t="shared" si="0"/>
        <v>4</v>
      </c>
      <c r="C29" s="184"/>
      <c r="D29" s="184" t="str">
        <f>_xlfn.IFERROR('Tabela PS'!AN5,"")</f>
        <v>20.12</v>
      </c>
      <c r="F29" s="184" t="str">
        <f>_xlfn.IFERROR('Tabela PS'!AM5,"")</f>
        <v>Barwniki i pigmenty</v>
      </c>
      <c r="G29" s="183"/>
      <c r="H29" s="345">
        <f>_xlfn.IFERROR(INDEX('Tabela PS'!$AO:$AX,B29+1,Wybrany_rok-2009),"")</f>
        <v>975366</v>
      </c>
      <c r="I29" s="246"/>
      <c r="J29" s="403">
        <f>IF(Wybrany_rok=2010,"",_xlfn.IFERROR(INDEX('Tabela PS'!$AO:$AW,B29+1,Wybrany_rok-2010),""))</f>
        <v>977166.7</v>
      </c>
      <c r="K29" s="403"/>
      <c r="L29" s="403"/>
      <c r="M29" s="403"/>
      <c r="N29" s="403"/>
      <c r="O29" s="187"/>
      <c r="P29" s="402">
        <f t="shared" si="1"/>
        <v>99.81572233274017</v>
      </c>
      <c r="Q29" s="402"/>
      <c r="R29" s="402"/>
      <c r="S29" s="402"/>
      <c r="T29" s="402"/>
      <c r="U29" s="247"/>
      <c r="V29" s="399"/>
      <c r="W29" s="399"/>
      <c r="X29" s="399"/>
      <c r="Y29" s="399"/>
      <c r="Z29" s="399"/>
      <c r="AA29" s="399"/>
      <c r="AB29" s="399"/>
      <c r="AC29" s="399"/>
      <c r="AD29" s="399"/>
      <c r="AE29" s="399"/>
      <c r="AF29" s="399"/>
      <c r="AG29" s="248"/>
      <c r="AH29" s="402" t="str">
        <f>_xlfn.IFERROR(INDEX('Tabela PS'!$AY:$AY,B29+1,1),"")</f>
        <v/>
      </c>
      <c r="AI29" s="402"/>
      <c r="AJ29" s="402"/>
      <c r="AK29" s="402"/>
      <c r="AL29" s="402"/>
      <c r="AN29" s="245"/>
      <c r="AO29" s="188" t="str">
        <f>IF('Tabela PS'!$AZ$1=FALSE,"",_xlfn.IFERROR(INDEX('Tabela PS'!$AO:$AU,B29+1,1),""))</f>
        <v>#</v>
      </c>
      <c r="AP29" s="249"/>
      <c r="AQ29" s="188" t="str">
        <f>IF('Tabela PS'!$AZ$1=FALSE,"",_xlfn.IFERROR(INDEX('Tabela PS'!$AO:$AU,B29+1,2),""))</f>
        <v>#</v>
      </c>
      <c r="AR29" s="249"/>
      <c r="AS29" s="188" t="str">
        <f>IF('Tabela PS'!$AZ$1=FALSE,"",_xlfn.IFERROR(INDEX('Tabela PS'!$AO:$AU,B29+1,3),""))</f>
        <v>#</v>
      </c>
      <c r="AT29" s="249"/>
      <c r="AU29" s="188" t="str">
        <f>IF('Tabela PS'!$AZ$1=FALSE,"",_xlfn.IFERROR(INDEX('Tabela PS'!$AO:$AU,B29+1,4),""))</f>
        <v>#</v>
      </c>
      <c r="AV29" s="249"/>
      <c r="AW29" s="188" t="str">
        <f>IF('Tabela PS'!$AZ$1=FALSE,"",_xlfn.IFERROR(INDEX('Tabela PS'!$AO:$AU,B29+1,5),""))</f>
        <v>#</v>
      </c>
      <c r="AX29" s="249"/>
      <c r="AY29" s="188" t="str">
        <f>IF('Tabela PS'!$AZ$1=FALSE,"",_xlfn.IFERROR(INDEX('Tabela PS'!$AO:$AU,B29+1,6),""))</f>
        <v>#</v>
      </c>
      <c r="AZ29" s="249"/>
      <c r="BA29" s="188">
        <f>IF('Tabela PS'!$AZ$1=FALSE,"",_xlfn.IFERROR(INDEX('Tabela PS'!$AO:$AU,B29+1,7),""))</f>
        <v>840964.7</v>
      </c>
      <c r="BB29" s="119"/>
      <c r="BC29" s="188">
        <f>IF('Tabela PS'!$AZ$1=FALSE,"",_xlfn.IFERROR(INDEX('Tabela PS'!$AO:$AV,B29+1,8),""))</f>
        <v>1013020.1</v>
      </c>
      <c r="BD29" s="119"/>
      <c r="BE29" s="188">
        <f>IF('Tabela PS'!$AZ$1=FALSE,"",_xlfn.IFERROR(INDEX('Tabela PS'!$AO:$AW,B29+1,9),""))</f>
        <v>977166.7</v>
      </c>
      <c r="BF29" s="119"/>
      <c r="BG29" s="188">
        <f>IF('Tabela PS'!$AZ$1=FALSE,"",_xlfn.IFERROR(INDEX('Tabela PS'!$AO:$AX,B29+1,10),""))</f>
        <v>975366</v>
      </c>
    </row>
    <row r="30" spans="2:59" s="182" customFormat="1" ht="22.5" customHeight="1">
      <c r="B30" s="184">
        <f t="shared" si="0"/>
        <v>5</v>
      </c>
      <c r="C30" s="184"/>
      <c r="D30" s="184" t="str">
        <f>_xlfn.IFERROR('Tabela PS'!AN6,"")</f>
        <v>20.13</v>
      </c>
      <c r="F30" s="184" t="str">
        <f>_xlfn.IFERROR('Tabela PS'!AM6,"")</f>
        <v>Pozostałe podstawowe chemikalia nieorganiczne</v>
      </c>
      <c r="G30" s="183"/>
      <c r="H30" s="345">
        <f>_xlfn.IFERROR(INDEX('Tabela PS'!$AO:$AX,B30+1,Wybrany_rok-2009),"")</f>
        <v>3598034.4</v>
      </c>
      <c r="I30" s="246"/>
      <c r="J30" s="403">
        <f>IF(Wybrany_rok=2010,"",_xlfn.IFERROR(INDEX('Tabela PS'!$AO:$AW,B30+1,Wybrany_rok-2010),""))</f>
        <v>3593731.3</v>
      </c>
      <c r="K30" s="403"/>
      <c r="L30" s="403"/>
      <c r="M30" s="403"/>
      <c r="N30" s="403"/>
      <c r="O30" s="187"/>
      <c r="P30" s="402">
        <f t="shared" si="1"/>
        <v>100.1197390578422</v>
      </c>
      <c r="Q30" s="402"/>
      <c r="R30" s="402"/>
      <c r="S30" s="402"/>
      <c r="T30" s="402"/>
      <c r="U30" s="247"/>
      <c r="V30" s="399"/>
      <c r="W30" s="399"/>
      <c r="X30" s="399"/>
      <c r="Y30" s="399"/>
      <c r="Z30" s="399"/>
      <c r="AA30" s="399"/>
      <c r="AB30" s="399"/>
      <c r="AC30" s="399"/>
      <c r="AD30" s="399"/>
      <c r="AE30" s="399"/>
      <c r="AF30" s="399"/>
      <c r="AG30" s="248"/>
      <c r="AH30" s="402">
        <f>_xlfn.IFERROR(INDEX('Tabela PS'!$AY:$AY,B30+1,1),"")</f>
        <v>191.7346732961396</v>
      </c>
      <c r="AI30" s="402"/>
      <c r="AJ30" s="402"/>
      <c r="AK30" s="402"/>
      <c r="AL30" s="402"/>
      <c r="AN30" s="245"/>
      <c r="AO30" s="188">
        <f>IF('Tabela PS'!$AZ$1=FALSE,"",_xlfn.IFERROR(INDEX('Tabela PS'!$AO:$AU,B30+1,1),""))</f>
        <v>1876569.5</v>
      </c>
      <c r="AP30" s="249"/>
      <c r="AQ30" s="188">
        <f>IF('Tabela PS'!$AZ$1=FALSE,"",_xlfn.IFERROR(INDEX('Tabela PS'!$AO:$AU,B30+1,2),""))</f>
        <v>2317161.3</v>
      </c>
      <c r="AR30" s="249"/>
      <c r="AS30" s="188">
        <f>IF('Tabela PS'!$AZ$1=FALSE,"",_xlfn.IFERROR(INDEX('Tabela PS'!$AO:$AU,B30+1,3),""))</f>
        <v>2327715.9</v>
      </c>
      <c r="AT30" s="249"/>
      <c r="AU30" s="188">
        <f>IF('Tabela PS'!$AZ$1=FALSE,"",_xlfn.IFERROR(INDEX('Tabela PS'!$AO:$AU,B30+1,4),""))</f>
        <v>2439546.1</v>
      </c>
      <c r="AV30" s="249"/>
      <c r="AW30" s="188">
        <f>IF('Tabela PS'!$AZ$1=FALSE,"",_xlfn.IFERROR(INDEX('Tabela PS'!$AO:$AU,B30+1,5),""))</f>
        <v>2358196.1</v>
      </c>
      <c r="AX30" s="249"/>
      <c r="AY30" s="188">
        <f>IF('Tabela PS'!$AZ$1=FALSE,"",_xlfn.IFERROR(INDEX('Tabela PS'!$AO:$AU,B30+1,6),""))</f>
        <v>2427476.1</v>
      </c>
      <c r="AZ30" s="249"/>
      <c r="BA30" s="188">
        <f>IF('Tabela PS'!$AZ$1=FALSE,"",_xlfn.IFERROR(INDEX('Tabela PS'!$AO:$AU,B30+1,7),""))</f>
        <v>2543270.8</v>
      </c>
      <c r="BB30" s="119"/>
      <c r="BC30" s="188">
        <f>IF('Tabela PS'!$AZ$1=FALSE,"",_xlfn.IFERROR(INDEX('Tabela PS'!$AO:$AV,B30+1,8),""))</f>
        <v>3023554.5</v>
      </c>
      <c r="BD30" s="119"/>
      <c r="BE30" s="188">
        <f>IF('Tabela PS'!$AZ$1=FALSE,"",_xlfn.IFERROR(INDEX('Tabela PS'!$AO:$AW,B30+1,9),""))</f>
        <v>3593731.3</v>
      </c>
      <c r="BF30" s="119"/>
      <c r="BG30" s="188">
        <f>IF('Tabela PS'!$AZ$1=FALSE,"",_xlfn.IFERROR(INDEX('Tabela PS'!$AO:$AX,B30+1,10),""))</f>
        <v>3598034.4</v>
      </c>
    </row>
    <row r="31" spans="2:59" s="182" customFormat="1" ht="22.5" customHeight="1">
      <c r="B31" s="184">
        <f t="shared" si="0"/>
        <v>6</v>
      </c>
      <c r="C31" s="184"/>
      <c r="D31" s="184" t="str">
        <f>_xlfn.IFERROR('Tabela PS'!AN7,"")</f>
        <v>20.14</v>
      </c>
      <c r="F31" s="184" t="str">
        <f>_xlfn.IFERROR('Tabela PS'!AM7,"")</f>
        <v>Pozostałe podstawowe chemikalia organiczne</v>
      </c>
      <c r="G31" s="183"/>
      <c r="H31" s="345">
        <f>_xlfn.IFERROR(INDEX('Tabela PS'!$AO:$AX,B31+1,Wybrany_rok-2009),"")</f>
        <v>11929022.1</v>
      </c>
      <c r="I31" s="246"/>
      <c r="J31" s="403">
        <f>IF(Wybrany_rok=2010,"",_xlfn.IFERROR(INDEX('Tabela PS'!$AO:$AW,B31+1,Wybrany_rok-2010),""))</f>
        <v>11636375.3</v>
      </c>
      <c r="K31" s="403"/>
      <c r="L31" s="403"/>
      <c r="M31" s="403"/>
      <c r="N31" s="403"/>
      <c r="O31" s="187"/>
      <c r="P31" s="402">
        <f t="shared" si="1"/>
        <v>102.5149309166747</v>
      </c>
      <c r="Q31" s="402"/>
      <c r="R31" s="402"/>
      <c r="S31" s="402"/>
      <c r="T31" s="402"/>
      <c r="U31" s="247"/>
      <c r="V31" s="399"/>
      <c r="W31" s="399"/>
      <c r="X31" s="399"/>
      <c r="Y31" s="399"/>
      <c r="Z31" s="399"/>
      <c r="AA31" s="399"/>
      <c r="AB31" s="399"/>
      <c r="AC31" s="399"/>
      <c r="AD31" s="399"/>
      <c r="AE31" s="399"/>
      <c r="AF31" s="399"/>
      <c r="AG31" s="248"/>
      <c r="AH31" s="402">
        <f>_xlfn.IFERROR(INDEX('Tabela PS'!$AY:$AY,B31+1,1),"")</f>
        <v>134.431803325543</v>
      </c>
      <c r="AI31" s="402"/>
      <c r="AJ31" s="402"/>
      <c r="AK31" s="402"/>
      <c r="AL31" s="402"/>
      <c r="AN31" s="245"/>
      <c r="AO31" s="188">
        <f>IF('Tabela PS'!$AZ$1=FALSE,"",_xlfn.IFERROR(INDEX('Tabela PS'!$AO:$AU,B31+1,1),""))</f>
        <v>8873660.7</v>
      </c>
      <c r="AP31" s="249"/>
      <c r="AQ31" s="188">
        <f>IF('Tabela PS'!$AZ$1=FALSE,"",_xlfn.IFERROR(INDEX('Tabela PS'!$AO:$AU,B31+1,2),""))</f>
        <v>12548138.8</v>
      </c>
      <c r="AR31" s="249"/>
      <c r="AS31" s="188">
        <f>IF('Tabela PS'!$AZ$1=FALSE,"",_xlfn.IFERROR(INDEX('Tabela PS'!$AO:$AU,B31+1,3),""))</f>
        <v>13667902.7</v>
      </c>
      <c r="AT31" s="249"/>
      <c r="AU31" s="188">
        <f>IF('Tabela PS'!$AZ$1=FALSE,"",_xlfn.IFERROR(INDEX('Tabela PS'!$AO:$AU,B31+1,4),""))</f>
        <v>13446187.7</v>
      </c>
      <c r="AV31" s="249"/>
      <c r="AW31" s="188">
        <f>IF('Tabela PS'!$AZ$1=FALSE,"",_xlfn.IFERROR(INDEX('Tabela PS'!$AO:$AU,B31+1,5),""))</f>
        <v>12125364.4</v>
      </c>
      <c r="AX31" s="249"/>
      <c r="AY31" s="188">
        <f>IF('Tabela PS'!$AZ$1=FALSE,"",_xlfn.IFERROR(INDEX('Tabela PS'!$AO:$AU,B31+1,6),""))</f>
        <v>11195460.8</v>
      </c>
      <c r="AZ31" s="249"/>
      <c r="BA31" s="188">
        <f>IF('Tabela PS'!$AZ$1=FALSE,"",_xlfn.IFERROR(INDEX('Tabela PS'!$AO:$AU,B31+1,7),""))</f>
        <v>10304948.4</v>
      </c>
      <c r="BB31" s="119"/>
      <c r="BC31" s="188">
        <f>IF('Tabela PS'!$AZ$1=FALSE,"",_xlfn.IFERROR(INDEX('Tabela PS'!$AO:$AV,B31+1,8),""))</f>
        <v>11183679.7</v>
      </c>
      <c r="BD31" s="119"/>
      <c r="BE31" s="188">
        <f>IF('Tabela PS'!$AZ$1=FALSE,"",_xlfn.IFERROR(INDEX('Tabela PS'!$AO:$AW,B31+1,9),""))</f>
        <v>11636375.3</v>
      </c>
      <c r="BF31" s="119"/>
      <c r="BG31" s="188">
        <f>IF('Tabela PS'!$AZ$1=FALSE,"",_xlfn.IFERROR(INDEX('Tabela PS'!$AO:$AX,B31+1,10),""))</f>
        <v>11929022.1</v>
      </c>
    </row>
    <row r="32" spans="2:59" s="182" customFormat="1" ht="22.5" customHeight="1">
      <c r="B32" s="184">
        <f t="shared" si="0"/>
        <v>7</v>
      </c>
      <c r="C32" s="184"/>
      <c r="D32" s="184" t="str">
        <f>_xlfn.IFERROR('Tabela PS'!AN8,"")</f>
        <v>20.15</v>
      </c>
      <c r="F32" s="184" t="str">
        <f>_xlfn.IFERROR('Tabela PS'!AM8,"")</f>
        <v>Nawozy i związki azotowe</v>
      </c>
      <c r="G32" s="183"/>
      <c r="H32" s="345">
        <f>_xlfn.IFERROR(INDEX('Tabela PS'!$AO:$AX,B32+1,Wybrany_rok-2009),"")</f>
        <v>8190734</v>
      </c>
      <c r="I32" s="246"/>
      <c r="J32" s="403">
        <f>IF(Wybrany_rok=2010,"",_xlfn.IFERROR(INDEX('Tabela PS'!$AO:$AW,B32+1,Wybrany_rok-2010),""))</f>
        <v>7631142.9</v>
      </c>
      <c r="K32" s="403"/>
      <c r="L32" s="403"/>
      <c r="M32" s="403"/>
      <c r="N32" s="403"/>
      <c r="O32" s="187"/>
      <c r="P32" s="402">
        <f t="shared" si="1"/>
        <v>107.33299202141791</v>
      </c>
      <c r="Q32" s="402"/>
      <c r="R32" s="402"/>
      <c r="S32" s="402"/>
      <c r="T32" s="402"/>
      <c r="U32" s="247"/>
      <c r="V32" s="399"/>
      <c r="W32" s="399"/>
      <c r="X32" s="399"/>
      <c r="Y32" s="399"/>
      <c r="Z32" s="399"/>
      <c r="AA32" s="399"/>
      <c r="AB32" s="399"/>
      <c r="AC32" s="399"/>
      <c r="AD32" s="399"/>
      <c r="AE32" s="399"/>
      <c r="AF32" s="399"/>
      <c r="AG32" s="248"/>
      <c r="AH32" s="402">
        <f>_xlfn.IFERROR(INDEX('Tabela PS'!$AY:$AY,B32+1,1),"")</f>
        <v>141.4211011762626</v>
      </c>
      <c r="AI32" s="402"/>
      <c r="AJ32" s="402"/>
      <c r="AK32" s="402"/>
      <c r="AL32" s="402"/>
      <c r="AO32" s="188">
        <f>IF('Tabela PS'!$AZ$1=FALSE,"",_xlfn.IFERROR(INDEX('Tabela PS'!$AO:$AU,B32+1,1),""))</f>
        <v>5791734</v>
      </c>
      <c r="AP32" s="249"/>
      <c r="AQ32" s="188">
        <f>IF('Tabela PS'!$AZ$1=FALSE,"",_xlfn.IFERROR(INDEX('Tabela PS'!$AO:$AU,B32+1,2),""))</f>
        <v>8162810.2</v>
      </c>
      <c r="AR32" s="249"/>
      <c r="AS32" s="188">
        <f>IF('Tabela PS'!$AZ$1=FALSE,"",_xlfn.IFERROR(INDEX('Tabela PS'!$AO:$AU,B32+1,3),""))</f>
        <v>9086272.3</v>
      </c>
      <c r="AT32" s="249"/>
      <c r="AU32" s="188">
        <f>IF('Tabela PS'!$AZ$1=FALSE,"",_xlfn.IFERROR(INDEX('Tabela PS'!$AO:$AU,B32+1,4),""))</f>
        <v>8324731.7</v>
      </c>
      <c r="AV32" s="249"/>
      <c r="AW32" s="188">
        <f>IF('Tabela PS'!$AZ$1=FALSE,"",_xlfn.IFERROR(INDEX('Tabela PS'!$AO:$AU,B32+1,5),""))</f>
        <v>8257355.3</v>
      </c>
      <c r="AX32" s="249"/>
      <c r="AY32" s="188">
        <f>IF('Tabela PS'!$AZ$1=FALSE,"",_xlfn.IFERROR(INDEX('Tabela PS'!$AO:$AU,B32+1,6),""))</f>
        <v>9027334.9</v>
      </c>
      <c r="AZ32" s="249"/>
      <c r="BA32" s="188">
        <f>IF('Tabela PS'!$AZ$1=FALSE,"",_xlfn.IFERROR(INDEX('Tabela PS'!$AO:$AU,B32+1,7),""))</f>
        <v>7667409.8</v>
      </c>
      <c r="BB32" s="119"/>
      <c r="BC32" s="188">
        <f>IF('Tabela PS'!$AZ$1=FALSE,"",_xlfn.IFERROR(INDEX('Tabela PS'!$AO:$AV,B32+1,8),""))</f>
        <v>7788990.6</v>
      </c>
      <c r="BD32" s="119"/>
      <c r="BE32" s="188">
        <f>IF('Tabela PS'!$AZ$1=FALSE,"",_xlfn.IFERROR(INDEX('Tabela PS'!$AO:$AW,B32+1,9),""))</f>
        <v>7631142.9</v>
      </c>
      <c r="BF32" s="119"/>
      <c r="BG32" s="188">
        <f>IF('Tabela PS'!$AZ$1=FALSE,"",_xlfn.IFERROR(INDEX('Tabela PS'!$AO:$AX,B32+1,10),""))</f>
        <v>8190734</v>
      </c>
    </row>
    <row r="33" spans="2:59" s="182" customFormat="1" ht="22.5" customHeight="1">
      <c r="B33" s="184">
        <f t="shared" si="0"/>
        <v>8</v>
      </c>
      <c r="C33" s="184"/>
      <c r="D33" s="184" t="str">
        <f>_xlfn.IFERROR('Tabela PS'!AN9,"")</f>
        <v>20.16</v>
      </c>
      <c r="F33" s="184" t="str">
        <f>_xlfn.IFERROR('Tabela PS'!AM9,"")</f>
        <v>Tworzywa sztuczne w formach podstawowych</v>
      </c>
      <c r="G33" s="183"/>
      <c r="H33" s="345">
        <f>_xlfn.IFERROR(INDEX('Tabela PS'!$AO:$AX,B33+1,Wybrany_rok-2009),"")</f>
        <v>13221152.3</v>
      </c>
      <c r="I33" s="246"/>
      <c r="J33" s="403">
        <f>IF(Wybrany_rok=2010,"",_xlfn.IFERROR(INDEX('Tabela PS'!$AO:$AW,B33+1,Wybrany_rok-2010),""))</f>
        <v>13049213.1</v>
      </c>
      <c r="K33" s="403"/>
      <c r="L33" s="403"/>
      <c r="M33" s="403"/>
      <c r="N33" s="403"/>
      <c r="O33" s="187"/>
      <c r="P33" s="402">
        <f t="shared" si="1"/>
        <v>101.31762121349679</v>
      </c>
      <c r="Q33" s="402"/>
      <c r="R33" s="402"/>
      <c r="S33" s="402"/>
      <c r="T33" s="402"/>
      <c r="U33" s="247"/>
      <c r="V33" s="399"/>
      <c r="W33" s="399"/>
      <c r="X33" s="399"/>
      <c r="Y33" s="399"/>
      <c r="Z33" s="399"/>
      <c r="AA33" s="399"/>
      <c r="AB33" s="399"/>
      <c r="AC33" s="399"/>
      <c r="AD33" s="399"/>
      <c r="AE33" s="399"/>
      <c r="AF33" s="399"/>
      <c r="AG33" s="248"/>
      <c r="AH33" s="402">
        <f>_xlfn.IFERROR(INDEX('Tabela PS'!$AY:$AY,B33+1,1),"")</f>
        <v>159.93412715682376</v>
      </c>
      <c r="AI33" s="402"/>
      <c r="AJ33" s="402"/>
      <c r="AK33" s="402"/>
      <c r="AL33" s="402"/>
      <c r="AO33" s="188">
        <f>IF('Tabela PS'!$AZ$1=FALSE,"",_xlfn.IFERROR(INDEX('Tabela PS'!$AO:$AU,B33+1,1),""))</f>
        <v>8266623.6</v>
      </c>
      <c r="AP33" s="249"/>
      <c r="AQ33" s="188">
        <f>IF('Tabela PS'!$AZ$1=FALSE,"",_xlfn.IFERROR(INDEX('Tabela PS'!$AO:$AU,B33+1,2),""))</f>
        <v>10052628.8</v>
      </c>
      <c r="AR33" s="249"/>
      <c r="AS33" s="188">
        <f>IF('Tabela PS'!$AZ$1=FALSE,"",_xlfn.IFERROR(INDEX('Tabela PS'!$AO:$AU,B33+1,3),""))</f>
        <v>10645296.5</v>
      </c>
      <c r="AT33" s="249"/>
      <c r="AU33" s="188">
        <f>IF('Tabela PS'!$AZ$1=FALSE,"",_xlfn.IFERROR(INDEX('Tabela PS'!$AO:$AU,B33+1,4),""))</f>
        <v>11394519.1</v>
      </c>
      <c r="AV33" s="249"/>
      <c r="AW33" s="188">
        <f>IF('Tabela PS'!$AZ$1=FALSE,"",_xlfn.IFERROR(INDEX('Tabela PS'!$AO:$AU,B33+1,5),""))</f>
        <v>11185236</v>
      </c>
      <c r="AX33" s="249"/>
      <c r="AY33" s="188">
        <f>IF('Tabela PS'!$AZ$1=FALSE,"",_xlfn.IFERROR(INDEX('Tabela PS'!$AO:$AU,B33+1,6),""))</f>
        <v>11986302.7</v>
      </c>
      <c r="AZ33" s="249"/>
      <c r="BA33" s="188">
        <f>IF('Tabela PS'!$AZ$1=FALSE,"",_xlfn.IFERROR(INDEX('Tabela PS'!$AO:$AU,B33+1,7),""))</f>
        <v>11061794</v>
      </c>
      <c r="BB33" s="119"/>
      <c r="BC33" s="188">
        <f>IF('Tabela PS'!$AZ$1=FALSE,"",_xlfn.IFERROR(INDEX('Tabela PS'!$AO:$AV,B33+1,8),""))</f>
        <v>12475261.4</v>
      </c>
      <c r="BD33" s="119"/>
      <c r="BE33" s="188">
        <f>IF('Tabela PS'!$AZ$1=FALSE,"",_xlfn.IFERROR(INDEX('Tabela PS'!$AO:$AW,B33+1,9),""))</f>
        <v>13049213.1</v>
      </c>
      <c r="BF33" s="119"/>
      <c r="BG33" s="188">
        <f>IF('Tabela PS'!$AZ$1=FALSE,"",_xlfn.IFERROR(INDEX('Tabela PS'!$AO:$AX,B33+1,10),""))</f>
        <v>13221152.3</v>
      </c>
    </row>
    <row r="34" spans="2:59" s="182" customFormat="1" ht="22.5" customHeight="1">
      <c r="B34" s="184">
        <f t="shared" si="0"/>
        <v>9</v>
      </c>
      <c r="C34" s="184"/>
      <c r="D34" s="184" t="str">
        <f>_xlfn.IFERROR('Tabela PS'!AN10,"")</f>
        <v>20.17</v>
      </c>
      <c r="F34" s="184" t="str">
        <f>_xlfn.IFERROR('Tabela PS'!AM10,"")</f>
        <v>Kauczuk syntetyczny w formach podstawowych</v>
      </c>
      <c r="G34" s="183"/>
      <c r="H34" s="345">
        <f>_xlfn.IFERROR(INDEX('Tabela PS'!$AO:$AX,B34+1,Wybrany_rok-2009),"")</f>
        <v>1541063.9</v>
      </c>
      <c r="I34" s="246"/>
      <c r="J34" s="403">
        <f>IF(Wybrany_rok=2010,"",_xlfn.IFERROR(INDEX('Tabela PS'!$AO:$AW,B34+1,Wybrany_rok-2010),""))</f>
        <v>1616837.4</v>
      </c>
      <c r="K34" s="403"/>
      <c r="L34" s="403"/>
      <c r="M34" s="403"/>
      <c r="N34" s="403"/>
      <c r="O34" s="187"/>
      <c r="P34" s="402">
        <f t="shared" si="1"/>
        <v>95.31347431720715</v>
      </c>
      <c r="Q34" s="402"/>
      <c r="R34" s="402"/>
      <c r="S34" s="402"/>
      <c r="T34" s="402"/>
      <c r="U34" s="247"/>
      <c r="V34" s="399"/>
      <c r="W34" s="399"/>
      <c r="X34" s="399"/>
      <c r="Y34" s="399"/>
      <c r="Z34" s="399"/>
      <c r="AA34" s="399"/>
      <c r="AB34" s="399"/>
      <c r="AC34" s="399"/>
      <c r="AD34" s="399"/>
      <c r="AE34" s="399"/>
      <c r="AF34" s="399"/>
      <c r="AH34" s="402" t="str">
        <f>_xlfn.IFERROR(INDEX('Tabela PS'!$AY:$AY,B34+1,1),"")</f>
        <v/>
      </c>
      <c r="AI34" s="402"/>
      <c r="AJ34" s="402"/>
      <c r="AK34" s="402"/>
      <c r="AL34" s="402"/>
      <c r="AO34" s="188" t="str">
        <f>IF('Tabela PS'!$AZ$1=FALSE,"",_xlfn.IFERROR(INDEX('Tabela PS'!$AO:$AU,B34+1,1),""))</f>
        <v>#</v>
      </c>
      <c r="AP34" s="249"/>
      <c r="AQ34" s="188" t="str">
        <f>IF('Tabela PS'!$AZ$1=FALSE,"",_xlfn.IFERROR(INDEX('Tabela PS'!$AO:$AU,B34+1,2),""))</f>
        <v>#</v>
      </c>
      <c r="AR34" s="249"/>
      <c r="AS34" s="188" t="str">
        <f>IF('Tabela PS'!$AZ$1=FALSE,"",_xlfn.IFERROR(INDEX('Tabela PS'!$AO:$AU,B34+1,3),""))</f>
        <v>#</v>
      </c>
      <c r="AT34" s="249"/>
      <c r="AU34" s="188" t="str">
        <f>IF('Tabela PS'!$AZ$1=FALSE,"",_xlfn.IFERROR(INDEX('Tabela PS'!$AO:$AU,B34+1,4),""))</f>
        <v>#</v>
      </c>
      <c r="AV34" s="249"/>
      <c r="AW34" s="188" t="str">
        <f>IF('Tabela PS'!$AZ$1=FALSE,"",_xlfn.IFERROR(INDEX('Tabela PS'!$AO:$AU,B34+1,5),""))</f>
        <v>#</v>
      </c>
      <c r="AX34" s="249"/>
      <c r="AY34" s="188" t="str">
        <f>IF('Tabela PS'!$AZ$1=FALSE,"",_xlfn.IFERROR(INDEX('Tabela PS'!$AO:$AU,B34+1,6),""))</f>
        <v>#</v>
      </c>
      <c r="AZ34" s="249"/>
      <c r="BA34" s="188">
        <f>IF('Tabela PS'!$AZ$1=FALSE,"",_xlfn.IFERROR(INDEX('Tabela PS'!$AO:$AU,B34+1,7),""))</f>
        <v>1192699.6</v>
      </c>
      <c r="BB34" s="119"/>
      <c r="BC34" s="188">
        <f>IF('Tabela PS'!$AZ$1=FALSE,"",_xlfn.IFERROR(INDEX('Tabela PS'!$AO:$AV,B34+1,8),""))</f>
        <v>1662739.9</v>
      </c>
      <c r="BD34" s="119"/>
      <c r="BE34" s="188">
        <f>IF('Tabela PS'!$AZ$1=FALSE,"",_xlfn.IFERROR(INDEX('Tabela PS'!$AO:$AW,B34+1,9),""))</f>
        <v>1616837.4</v>
      </c>
      <c r="BF34" s="119"/>
      <c r="BG34" s="188">
        <f>IF('Tabela PS'!$AZ$1=FALSE,"",_xlfn.IFERROR(INDEX('Tabela PS'!$AO:$AX,B34+1,10),""))</f>
        <v>1541063.9</v>
      </c>
    </row>
    <row r="35" spans="2:59" s="182" customFormat="1" ht="22.5" customHeight="1">
      <c r="B35" s="184">
        <f t="shared" si="0"/>
        <v>10</v>
      </c>
      <c r="C35" s="184"/>
      <c r="D35" s="184" t="str">
        <f>_xlfn.IFERROR('Tabela PS'!AN11,"")</f>
        <v>20.2</v>
      </c>
      <c r="F35" s="184" t="str">
        <f>_xlfn.IFERROR('Tabela PS'!AM11,"")</f>
        <v>Pestycydy i pozostałe środki agrochemiczne</v>
      </c>
      <c r="G35" s="183"/>
      <c r="H35" s="345">
        <f>_xlfn.IFERROR(INDEX('Tabela PS'!$AO:$AX,B35+1,Wybrany_rok-2009),"")</f>
        <v>789237.9</v>
      </c>
      <c r="I35" s="246"/>
      <c r="J35" s="403">
        <f>IF(Wybrany_rok=2010,"",_xlfn.IFERROR(INDEX('Tabela PS'!$AO:$AW,B35+1,Wybrany_rok-2010),""))</f>
        <v>766173.5</v>
      </c>
      <c r="K35" s="403"/>
      <c r="L35" s="403"/>
      <c r="M35" s="403"/>
      <c r="N35" s="403"/>
      <c r="O35" s="187"/>
      <c r="P35" s="402">
        <f t="shared" si="1"/>
        <v>103.01033643163069</v>
      </c>
      <c r="Q35" s="402"/>
      <c r="R35" s="402"/>
      <c r="S35" s="402"/>
      <c r="T35" s="402"/>
      <c r="U35" s="247"/>
      <c r="V35" s="399"/>
      <c r="W35" s="399"/>
      <c r="X35" s="399"/>
      <c r="Y35" s="399"/>
      <c r="Z35" s="399"/>
      <c r="AA35" s="399"/>
      <c r="AB35" s="399"/>
      <c r="AC35" s="399"/>
      <c r="AD35" s="399"/>
      <c r="AE35" s="399"/>
      <c r="AF35" s="399"/>
      <c r="AH35" s="402">
        <f>_xlfn.IFERROR(INDEX('Tabela PS'!$AY:$AY,B35+1,1),"")</f>
        <v>215.74245655220642</v>
      </c>
      <c r="AI35" s="402"/>
      <c r="AJ35" s="402"/>
      <c r="AK35" s="402"/>
      <c r="AL35" s="402"/>
      <c r="AO35" s="188">
        <f>IF('Tabela PS'!$AZ$1=FALSE,"",_xlfn.IFERROR(INDEX('Tabela PS'!$AO:$AU,B35+1,1),""))</f>
        <v>365824.1</v>
      </c>
      <c r="AP35" s="249"/>
      <c r="AQ35" s="188">
        <f>IF('Tabela PS'!$AZ$1=FALSE,"",_xlfn.IFERROR(INDEX('Tabela PS'!$AO:$AU,B35+1,2),""))</f>
        <v>374023.6</v>
      </c>
      <c r="AR35" s="249"/>
      <c r="AS35" s="188">
        <f>IF('Tabela PS'!$AZ$1=FALSE,"",_xlfn.IFERROR(INDEX('Tabela PS'!$AO:$AU,B35+1,3),""))</f>
        <v>375757.1</v>
      </c>
      <c r="AT35" s="249"/>
      <c r="AU35" s="188">
        <f>IF('Tabela PS'!$AZ$1=FALSE,"",_xlfn.IFERROR(INDEX('Tabela PS'!$AO:$AU,B35+1,4),""))</f>
        <v>443238</v>
      </c>
      <c r="AV35" s="249"/>
      <c r="AW35" s="188">
        <f>IF('Tabela PS'!$AZ$1=FALSE,"",_xlfn.IFERROR(INDEX('Tabela PS'!$AO:$AU,B35+1,5),""))</f>
        <v>475784.3</v>
      </c>
      <c r="AX35" s="249"/>
      <c r="AY35" s="188">
        <f>IF('Tabela PS'!$AZ$1=FALSE,"",_xlfn.IFERROR(INDEX('Tabela PS'!$AO:$AU,B35+1,6),""))</f>
        <v>499013.4</v>
      </c>
      <c r="AZ35" s="249"/>
      <c r="BA35" s="188">
        <f>IF('Tabela PS'!$AZ$1=FALSE,"",_xlfn.IFERROR(INDEX('Tabela PS'!$AO:$AU,B35+1,7),""))</f>
        <v>571245.9</v>
      </c>
      <c r="BB35" s="119"/>
      <c r="BC35" s="188">
        <f>IF('Tabela PS'!$AZ$1=FALSE,"",_xlfn.IFERROR(INDEX('Tabela PS'!$AO:$AV,B35+1,8),""))</f>
        <v>707957.1</v>
      </c>
      <c r="BD35" s="119"/>
      <c r="BE35" s="188">
        <f>IF('Tabela PS'!$AZ$1=FALSE,"",_xlfn.IFERROR(INDEX('Tabela PS'!$AO:$AW,B35+1,9),""))</f>
        <v>766173.5</v>
      </c>
      <c r="BF35" s="119"/>
      <c r="BG35" s="188">
        <f>IF('Tabela PS'!$AZ$1=FALSE,"",_xlfn.IFERROR(INDEX('Tabela PS'!$AO:$AX,B35+1,10),""))</f>
        <v>789237.9</v>
      </c>
    </row>
    <row r="36" spans="2:59" s="182" customFormat="1" ht="22.5" customHeight="1">
      <c r="B36" s="184">
        <f t="shared" si="0"/>
        <v>11</v>
      </c>
      <c r="C36" s="184"/>
      <c r="D36" s="184" t="str">
        <f>_xlfn.IFERROR('Tabela PS'!AN12,"")</f>
        <v>20.20</v>
      </c>
      <c r="F36" s="184" t="str">
        <f>_xlfn.IFERROR('Tabela PS'!AM12,"")</f>
        <v>Pestycydy i pozostałe środki agrochemiczne</v>
      </c>
      <c r="G36" s="183"/>
      <c r="H36" s="345">
        <f>_xlfn.IFERROR(INDEX('Tabela PS'!$AO:$AX,B36+1,Wybrany_rok-2009),"")</f>
        <v>789237.9</v>
      </c>
      <c r="I36" s="246"/>
      <c r="J36" s="403">
        <f>IF(Wybrany_rok=2010,"",_xlfn.IFERROR(INDEX('Tabela PS'!$AO:$AW,B36+1,Wybrany_rok-2010),""))</f>
        <v>766173.5</v>
      </c>
      <c r="K36" s="403"/>
      <c r="L36" s="403"/>
      <c r="M36" s="403"/>
      <c r="N36" s="403"/>
      <c r="O36" s="187"/>
      <c r="P36" s="402">
        <f t="shared" si="1"/>
        <v>103.01033643163069</v>
      </c>
      <c r="Q36" s="402"/>
      <c r="R36" s="402"/>
      <c r="S36" s="402"/>
      <c r="T36" s="402"/>
      <c r="U36" s="247"/>
      <c r="V36" s="399"/>
      <c r="W36" s="399"/>
      <c r="X36" s="399"/>
      <c r="Y36" s="399"/>
      <c r="Z36" s="399"/>
      <c r="AA36" s="399"/>
      <c r="AB36" s="399"/>
      <c r="AC36" s="399"/>
      <c r="AD36" s="399"/>
      <c r="AE36" s="399"/>
      <c r="AF36" s="399"/>
      <c r="AH36" s="402">
        <f>_xlfn.IFERROR(INDEX('Tabela PS'!$AY:$AY,B36+1,1),"")</f>
        <v>215.74245655220642</v>
      </c>
      <c r="AI36" s="402"/>
      <c r="AJ36" s="402"/>
      <c r="AK36" s="402"/>
      <c r="AL36" s="402"/>
      <c r="AO36" s="188">
        <f>IF('Tabela PS'!$AZ$1=FALSE,"",_xlfn.IFERROR(INDEX('Tabela PS'!$AO:$AU,B36+1,1),""))</f>
        <v>365824.1</v>
      </c>
      <c r="AP36" s="249"/>
      <c r="AQ36" s="188">
        <f>IF('Tabela PS'!$AZ$1=FALSE,"",_xlfn.IFERROR(INDEX('Tabela PS'!$AO:$AU,B36+1,2),""))</f>
        <v>374023.6</v>
      </c>
      <c r="AR36" s="249"/>
      <c r="AS36" s="188">
        <f>IF('Tabela PS'!$AZ$1=FALSE,"",_xlfn.IFERROR(INDEX('Tabela PS'!$AO:$AU,B36+1,3),""))</f>
        <v>375757.1</v>
      </c>
      <c r="AT36" s="249"/>
      <c r="AU36" s="188">
        <f>IF('Tabela PS'!$AZ$1=FALSE,"",_xlfn.IFERROR(INDEX('Tabela PS'!$AO:$AU,B36+1,4),""))</f>
        <v>443238</v>
      </c>
      <c r="AV36" s="249"/>
      <c r="AW36" s="188">
        <f>IF('Tabela PS'!$AZ$1=FALSE,"",_xlfn.IFERROR(INDEX('Tabela PS'!$AO:$AU,B36+1,5),""))</f>
        <v>475784.3</v>
      </c>
      <c r="AX36" s="249"/>
      <c r="AY36" s="188">
        <f>IF('Tabela PS'!$AZ$1=FALSE,"",_xlfn.IFERROR(INDEX('Tabela PS'!$AO:$AU,B36+1,6),""))</f>
        <v>499013.4</v>
      </c>
      <c r="AZ36" s="249"/>
      <c r="BA36" s="188">
        <f>IF('Tabela PS'!$AZ$1=FALSE,"",_xlfn.IFERROR(INDEX('Tabela PS'!$AO:$AU,B36+1,7),""))</f>
        <v>571245.9</v>
      </c>
      <c r="BB36" s="119"/>
      <c r="BC36" s="188">
        <f>IF('Tabela PS'!$AZ$1=FALSE,"",_xlfn.IFERROR(INDEX('Tabela PS'!$AO:$AV,B36+1,8),""))</f>
        <v>707957.1</v>
      </c>
      <c r="BD36" s="119"/>
      <c r="BE36" s="188">
        <f>IF('Tabela PS'!$AZ$1=FALSE,"",_xlfn.IFERROR(INDEX('Tabela PS'!$AO:$AW,B36+1,9),""))</f>
        <v>766173.5</v>
      </c>
      <c r="BF36" s="119"/>
      <c r="BG36" s="188">
        <f>IF('Tabela PS'!$AZ$1=FALSE,"",_xlfn.IFERROR(INDEX('Tabela PS'!$AO:$AX,B36+1,10),""))</f>
        <v>789237.9</v>
      </c>
    </row>
    <row r="37" spans="2:59" s="182" customFormat="1" ht="22.5" customHeight="1">
      <c r="B37" s="184">
        <f t="shared" si="0"/>
        <v>12</v>
      </c>
      <c r="C37" s="184"/>
      <c r="D37" s="184" t="str">
        <f>_xlfn.IFERROR('Tabela PS'!AN13,"")</f>
        <v>20.3</v>
      </c>
      <c r="F37" s="184" t="str">
        <f>_xlfn.IFERROR('Tabela PS'!AM13,"")</f>
        <v>Farby, lakiery i podobne środki pokrywające, farba drukarska, gotowe sykatywy i masy uszczelniające</v>
      </c>
      <c r="G37" s="183"/>
      <c r="H37" s="345">
        <f>_xlfn.IFERROR(INDEX('Tabela PS'!$AO:$AX,B37+1,Wybrany_rok-2009),"")</f>
        <v>6120422.6</v>
      </c>
      <c r="I37" s="246"/>
      <c r="J37" s="403">
        <f>IF(Wybrany_rok=2010,"",_xlfn.IFERROR(INDEX('Tabela PS'!$AO:$AW,B37+1,Wybrany_rok-2010),""))</f>
        <v>5832338.5</v>
      </c>
      <c r="K37" s="403"/>
      <c r="L37" s="403"/>
      <c r="M37" s="403"/>
      <c r="N37" s="403"/>
      <c r="O37" s="187"/>
      <c r="P37" s="402">
        <f t="shared" si="1"/>
        <v>104.93942695541418</v>
      </c>
      <c r="Q37" s="402"/>
      <c r="R37" s="402"/>
      <c r="S37" s="402"/>
      <c r="T37" s="402"/>
      <c r="U37" s="247"/>
      <c r="V37" s="399"/>
      <c r="W37" s="399"/>
      <c r="X37" s="399"/>
      <c r="Y37" s="399"/>
      <c r="Z37" s="399"/>
      <c r="AA37" s="399"/>
      <c r="AB37" s="399"/>
      <c r="AC37" s="399"/>
      <c r="AD37" s="399"/>
      <c r="AE37" s="399"/>
      <c r="AF37" s="399"/>
      <c r="AH37" s="402">
        <f>_xlfn.IFERROR(INDEX('Tabela PS'!$AY:$AY,B37+1,1),"")</f>
        <v>162.91022427169716</v>
      </c>
      <c r="AI37" s="402"/>
      <c r="AJ37" s="402"/>
      <c r="AK37" s="402"/>
      <c r="AL37" s="402"/>
      <c r="AO37" s="188">
        <f>IF('Tabela PS'!$AZ$1=FALSE,"",_xlfn.IFERROR(INDEX('Tabela PS'!$AO:$AU,B37+1,1),""))</f>
        <v>3756929.7</v>
      </c>
      <c r="AP37" s="249"/>
      <c r="AQ37" s="188">
        <f>IF('Tabela PS'!$AZ$1=FALSE,"",_xlfn.IFERROR(INDEX('Tabela PS'!$AO:$AU,B37+1,2),""))</f>
        <v>4543589.2</v>
      </c>
      <c r="AR37" s="249"/>
      <c r="AS37" s="188">
        <f>IF('Tabela PS'!$AZ$1=FALSE,"",_xlfn.IFERROR(INDEX('Tabela PS'!$AO:$AU,B37+1,3),""))</f>
        <v>4926167</v>
      </c>
      <c r="AT37" s="249"/>
      <c r="AU37" s="188">
        <f>IF('Tabela PS'!$AZ$1=FALSE,"",_xlfn.IFERROR(INDEX('Tabela PS'!$AO:$AU,B37+1,4),""))</f>
        <v>5002376.4</v>
      </c>
      <c r="AV37" s="249"/>
      <c r="AW37" s="188">
        <f>IF('Tabela PS'!$AZ$1=FALSE,"",_xlfn.IFERROR(INDEX('Tabela PS'!$AO:$AU,B37+1,5),""))</f>
        <v>5310203.7</v>
      </c>
      <c r="AX37" s="249"/>
      <c r="AY37" s="188">
        <f>IF('Tabela PS'!$AZ$1=FALSE,"",_xlfn.IFERROR(INDEX('Tabela PS'!$AO:$AU,B37+1,6),""))</f>
        <v>5005198.1</v>
      </c>
      <c r="AZ37" s="249"/>
      <c r="BA37" s="188">
        <f>IF('Tabela PS'!$AZ$1=FALSE,"",_xlfn.IFERROR(INDEX('Tabela PS'!$AO:$AU,B37+1,7),""))</f>
        <v>5320920.6</v>
      </c>
      <c r="BB37" s="119"/>
      <c r="BC37" s="188">
        <f>IF('Tabela PS'!$AZ$1=FALSE,"",_xlfn.IFERROR(INDEX('Tabela PS'!$AO:$AV,B37+1,8),""))</f>
        <v>5371509.9</v>
      </c>
      <c r="BD37" s="119"/>
      <c r="BE37" s="188">
        <f>IF('Tabela PS'!$AZ$1=FALSE,"",_xlfn.IFERROR(INDEX('Tabela PS'!$AO:$AW,B37+1,9),""))</f>
        <v>5832338.5</v>
      </c>
      <c r="BF37" s="119"/>
      <c r="BG37" s="188">
        <f>IF('Tabela PS'!$AZ$1=FALSE,"",_xlfn.IFERROR(INDEX('Tabela PS'!$AO:$AX,B37+1,10),""))</f>
        <v>6120422.6</v>
      </c>
    </row>
    <row r="38" spans="2:59" s="182" customFormat="1" ht="22.5" customHeight="1">
      <c r="B38" s="184">
        <f t="shared" si="0"/>
        <v>13</v>
      </c>
      <c r="C38" s="184"/>
      <c r="D38" s="184" t="str">
        <f>_xlfn.IFERROR('Tabela PS'!AN14,"")</f>
        <v>20.30</v>
      </c>
      <c r="F38" s="184" t="str">
        <f>_xlfn.IFERROR('Tabela PS'!AM14,"")</f>
        <v>Farby, lakiery i podobne środki pokrywające, farba drukarska, gotowe sykatywy i masy uszczelniające</v>
      </c>
      <c r="G38" s="183"/>
      <c r="H38" s="345">
        <f>_xlfn.IFERROR(INDEX('Tabela PS'!$AO:$AX,B38+1,Wybrany_rok-2009),"")</f>
        <v>6120422.6</v>
      </c>
      <c r="I38" s="246"/>
      <c r="J38" s="403">
        <f>IF(Wybrany_rok=2010,"",_xlfn.IFERROR(INDEX('Tabela PS'!$AO:$AW,B38+1,Wybrany_rok-2010),""))</f>
        <v>5832338.5</v>
      </c>
      <c r="K38" s="403"/>
      <c r="L38" s="403"/>
      <c r="M38" s="403"/>
      <c r="N38" s="403"/>
      <c r="O38" s="187"/>
      <c r="P38" s="402">
        <f t="shared" si="1"/>
        <v>104.93942695541418</v>
      </c>
      <c r="Q38" s="402"/>
      <c r="R38" s="402"/>
      <c r="S38" s="402"/>
      <c r="T38" s="402"/>
      <c r="U38" s="247"/>
      <c r="V38" s="399"/>
      <c r="W38" s="399"/>
      <c r="X38" s="399"/>
      <c r="Y38" s="399"/>
      <c r="Z38" s="399"/>
      <c r="AA38" s="399"/>
      <c r="AB38" s="399"/>
      <c r="AC38" s="399"/>
      <c r="AD38" s="399"/>
      <c r="AE38" s="399"/>
      <c r="AF38" s="399"/>
      <c r="AH38" s="402">
        <f>_xlfn.IFERROR(INDEX('Tabela PS'!$AY:$AY,B38+1,1),"")</f>
        <v>162.91022427169716</v>
      </c>
      <c r="AI38" s="402"/>
      <c r="AJ38" s="402"/>
      <c r="AK38" s="402"/>
      <c r="AL38" s="402"/>
      <c r="AO38" s="188">
        <f>IF('Tabela PS'!$AZ$1=FALSE,"",_xlfn.IFERROR(INDEX('Tabela PS'!$AO:$AU,B38+1,1),""))</f>
        <v>3756929.7</v>
      </c>
      <c r="AP38" s="249"/>
      <c r="AQ38" s="188">
        <f>IF('Tabela PS'!$AZ$1=FALSE,"",_xlfn.IFERROR(INDEX('Tabela PS'!$AO:$AU,B38+1,2),""))</f>
        <v>4543589.2</v>
      </c>
      <c r="AR38" s="249"/>
      <c r="AS38" s="188">
        <f>IF('Tabela PS'!$AZ$1=FALSE,"",_xlfn.IFERROR(INDEX('Tabela PS'!$AO:$AU,B38+1,3),""))</f>
        <v>4926167</v>
      </c>
      <c r="AT38" s="249"/>
      <c r="AU38" s="188">
        <f>IF('Tabela PS'!$AZ$1=FALSE,"",_xlfn.IFERROR(INDEX('Tabela PS'!$AO:$AU,B38+1,4),""))</f>
        <v>5002376.4</v>
      </c>
      <c r="AV38" s="249"/>
      <c r="AW38" s="188">
        <f>IF('Tabela PS'!$AZ$1=FALSE,"",_xlfn.IFERROR(INDEX('Tabela PS'!$AO:$AU,B38+1,5),""))</f>
        <v>5310203.7</v>
      </c>
      <c r="AX38" s="249"/>
      <c r="AY38" s="188">
        <f>IF('Tabela PS'!$AZ$1=FALSE,"",_xlfn.IFERROR(INDEX('Tabela PS'!$AO:$AU,B38+1,6),""))</f>
        <v>5005198.1</v>
      </c>
      <c r="AZ38" s="249"/>
      <c r="BA38" s="188">
        <f>IF('Tabela PS'!$AZ$1=FALSE,"",_xlfn.IFERROR(INDEX('Tabela PS'!$AO:$AU,B38+1,7),""))</f>
        <v>5320920.6</v>
      </c>
      <c r="BB38" s="119"/>
      <c r="BC38" s="188">
        <f>IF('Tabela PS'!$AZ$1=FALSE,"",_xlfn.IFERROR(INDEX('Tabela PS'!$AO:$AV,B38+1,8),""))</f>
        <v>5371509.9</v>
      </c>
      <c r="BD38" s="119"/>
      <c r="BE38" s="188">
        <f>IF('Tabela PS'!$AZ$1=FALSE,"",_xlfn.IFERROR(INDEX('Tabela PS'!$AO:$AW,B38+1,9),""))</f>
        <v>5832338.5</v>
      </c>
      <c r="BF38" s="119"/>
      <c r="BG38" s="188">
        <f>IF('Tabela PS'!$AZ$1=FALSE,"",_xlfn.IFERROR(INDEX('Tabela PS'!$AO:$AX,B38+1,10),""))</f>
        <v>6120422.6</v>
      </c>
    </row>
    <row r="39" spans="2:59" s="182" customFormat="1" ht="22.5" customHeight="1">
      <c r="B39" s="184">
        <f t="shared" si="0"/>
        <v>14</v>
      </c>
      <c r="C39" s="184"/>
      <c r="D39" s="184" t="str">
        <f>_xlfn.IFERROR('Tabela PS'!AN15,"")</f>
        <v>20.4</v>
      </c>
      <c r="F39" s="184" t="str">
        <f>_xlfn.IFERROR('Tabela PS'!AM15,"")</f>
        <v>Mydło i detergenty, środki piorące, czyszczące i polerujące; wyroby kosmetyczne i toaletowe</v>
      </c>
      <c r="G39" s="183"/>
      <c r="H39" s="345">
        <f>_xlfn.IFERROR(INDEX('Tabela PS'!$AO:$AX,B39+1,Wybrany_rok-2009),"")</f>
        <v>13046957.4</v>
      </c>
      <c r="I39" s="246"/>
      <c r="J39" s="403">
        <f>IF(Wybrany_rok=2010,"",_xlfn.IFERROR(INDEX('Tabela PS'!$AO:$AW,B39+1,Wybrany_rok-2010),""))</f>
        <v>12732810</v>
      </c>
      <c r="K39" s="403"/>
      <c r="L39" s="403"/>
      <c r="M39" s="403"/>
      <c r="N39" s="403"/>
      <c r="O39" s="187"/>
      <c r="P39" s="402">
        <f t="shared" si="1"/>
        <v>102.46722757977227</v>
      </c>
      <c r="Q39" s="402"/>
      <c r="R39" s="402"/>
      <c r="S39" s="402"/>
      <c r="T39" s="402"/>
      <c r="U39" s="247"/>
      <c r="V39" s="399"/>
      <c r="W39" s="399"/>
      <c r="X39" s="399"/>
      <c r="Y39" s="399"/>
      <c r="Z39" s="399"/>
      <c r="AA39" s="399"/>
      <c r="AB39" s="399"/>
      <c r="AC39" s="399"/>
      <c r="AD39" s="399"/>
      <c r="AE39" s="399"/>
      <c r="AF39" s="399"/>
      <c r="AH39" s="402">
        <f>_xlfn.IFERROR(INDEX('Tabela PS'!$AY:$AY,B39+1,1),"")</f>
        <v>153.4711212153033</v>
      </c>
      <c r="AI39" s="402"/>
      <c r="AJ39" s="402"/>
      <c r="AK39" s="402"/>
      <c r="AL39" s="402"/>
      <c r="AO39" s="188">
        <f>IF('Tabela PS'!$AZ$1=FALSE,"",_xlfn.IFERROR(INDEX('Tabela PS'!$AO:$AU,B39+1,1),""))</f>
        <v>8501245.9</v>
      </c>
      <c r="AP39" s="249"/>
      <c r="AQ39" s="188">
        <f>IF('Tabela PS'!$AZ$1=FALSE,"",_xlfn.IFERROR(INDEX('Tabela PS'!$AO:$AU,B39+1,2),""))</f>
        <v>10153790.5</v>
      </c>
      <c r="AR39" s="249"/>
      <c r="AS39" s="188">
        <f>IF('Tabela PS'!$AZ$1=FALSE,"",_xlfn.IFERROR(INDEX('Tabela PS'!$AO:$AU,B39+1,3),""))</f>
        <v>10817191</v>
      </c>
      <c r="AT39" s="249"/>
      <c r="AU39" s="188">
        <f>IF('Tabela PS'!$AZ$1=FALSE,"",_xlfn.IFERROR(INDEX('Tabela PS'!$AO:$AU,B39+1,4),""))</f>
        <v>11323961.8</v>
      </c>
      <c r="AV39" s="249"/>
      <c r="AW39" s="188">
        <f>IF('Tabela PS'!$AZ$1=FALSE,"",_xlfn.IFERROR(INDEX('Tabela PS'!$AO:$AU,B39+1,5),""))</f>
        <v>10985273.4</v>
      </c>
      <c r="AX39" s="249"/>
      <c r="AY39" s="188">
        <f>IF('Tabela PS'!$AZ$1=FALSE,"",_xlfn.IFERROR(INDEX('Tabela PS'!$AO:$AU,B39+1,6),""))</f>
        <v>11630433.7</v>
      </c>
      <c r="AZ39" s="249"/>
      <c r="BA39" s="188">
        <f>IF('Tabela PS'!$AZ$1=FALSE,"",_xlfn.IFERROR(INDEX('Tabela PS'!$AO:$AU,B39+1,7),""))</f>
        <v>12465451.4</v>
      </c>
      <c r="BB39" s="119"/>
      <c r="BC39" s="188">
        <f>IF('Tabela PS'!$AZ$1=FALSE,"",_xlfn.IFERROR(INDEX('Tabela PS'!$AO:$AV,B39+1,8),""))</f>
        <v>12888359.6</v>
      </c>
      <c r="BD39" s="119"/>
      <c r="BE39" s="188">
        <f>IF('Tabela PS'!$AZ$1=FALSE,"",_xlfn.IFERROR(INDEX('Tabela PS'!$AO:$AW,B39+1,9),""))</f>
        <v>12732810</v>
      </c>
      <c r="BF39" s="119"/>
      <c r="BG39" s="188">
        <f>IF('Tabela PS'!$AZ$1=FALSE,"",_xlfn.IFERROR(INDEX('Tabela PS'!$AO:$AX,B39+1,10),""))</f>
        <v>13046957.4</v>
      </c>
    </row>
    <row r="40" spans="2:59" s="182" customFormat="1" ht="22.5" customHeight="1">
      <c r="B40" s="184">
        <f t="shared" si="0"/>
        <v>15</v>
      </c>
      <c r="C40" s="184"/>
      <c r="D40" s="184" t="str">
        <f>_xlfn.IFERROR('Tabela PS'!AN16,"")</f>
        <v>20.41</v>
      </c>
      <c r="F40" s="184" t="str">
        <f>_xlfn.IFERROR('Tabela PS'!AM16,"")</f>
        <v>Mydło i detergenty, środki piorące, czyszczące i polerujące</v>
      </c>
      <c r="G40" s="183"/>
      <c r="H40" s="345">
        <f>_xlfn.IFERROR(INDEX('Tabela PS'!$AO:$AX,B40+1,Wybrany_rok-2009),"")</f>
        <v>5516226</v>
      </c>
      <c r="I40" s="246"/>
      <c r="J40" s="403">
        <f>IF(Wybrany_rok=2010,"",_xlfn.IFERROR(INDEX('Tabela PS'!$AO:$AW,B40+1,Wybrany_rok-2010),""))</f>
        <v>5327277.2</v>
      </c>
      <c r="K40" s="403"/>
      <c r="L40" s="403"/>
      <c r="M40" s="403"/>
      <c r="N40" s="403"/>
      <c r="O40" s="187"/>
      <c r="P40" s="402">
        <f t="shared" si="1"/>
        <v>103.54681749994161</v>
      </c>
      <c r="Q40" s="402"/>
      <c r="R40" s="402"/>
      <c r="S40" s="402"/>
      <c r="T40" s="402"/>
      <c r="U40" s="247"/>
      <c r="V40" s="399"/>
      <c r="W40" s="399"/>
      <c r="X40" s="399"/>
      <c r="Y40" s="399"/>
      <c r="Z40" s="399"/>
      <c r="AA40" s="399"/>
      <c r="AB40" s="399"/>
      <c r="AC40" s="399"/>
      <c r="AD40" s="399"/>
      <c r="AE40" s="399"/>
      <c r="AF40" s="399"/>
      <c r="AH40" s="402">
        <f>_xlfn.IFERROR(INDEX('Tabela PS'!$AY:$AY,B40+1,1),"")</f>
        <v>160.52896959203593</v>
      </c>
      <c r="AI40" s="402"/>
      <c r="AJ40" s="402"/>
      <c r="AK40" s="402"/>
      <c r="AL40" s="402"/>
      <c r="AO40" s="188">
        <f>IF('Tabela PS'!$AZ$1=FALSE,"",_xlfn.IFERROR(INDEX('Tabela PS'!$AO:$AU,B40+1,1),""))</f>
        <v>3436280.7</v>
      </c>
      <c r="AP40" s="249"/>
      <c r="AQ40" s="188">
        <f>IF('Tabela PS'!$AZ$1=FALSE,"",_xlfn.IFERROR(INDEX('Tabela PS'!$AO:$AU,B40+1,2),""))</f>
        <v>3934271.2</v>
      </c>
      <c r="AR40" s="249"/>
      <c r="AS40" s="188">
        <f>IF('Tabela PS'!$AZ$1=FALSE,"",_xlfn.IFERROR(INDEX('Tabela PS'!$AO:$AU,B40+1,3),""))</f>
        <v>4483745.5</v>
      </c>
      <c r="AT40" s="249"/>
      <c r="AU40" s="188">
        <f>IF('Tabela PS'!$AZ$1=FALSE,"",_xlfn.IFERROR(INDEX('Tabela PS'!$AO:$AU,B40+1,4),""))</f>
        <v>4709094</v>
      </c>
      <c r="AV40" s="249"/>
      <c r="AW40" s="188">
        <f>IF('Tabela PS'!$AZ$1=FALSE,"",_xlfn.IFERROR(INDEX('Tabela PS'!$AO:$AU,B40+1,5),""))</f>
        <v>4948083.2</v>
      </c>
      <c r="AX40" s="249"/>
      <c r="AY40" s="188">
        <f>IF('Tabela PS'!$AZ$1=FALSE,"",_xlfn.IFERROR(INDEX('Tabela PS'!$AO:$AU,B40+1,6),""))</f>
        <v>5239871.3</v>
      </c>
      <c r="AZ40" s="249"/>
      <c r="BA40" s="188">
        <f>IF('Tabela PS'!$AZ$1=FALSE,"",_xlfn.IFERROR(INDEX('Tabela PS'!$AO:$AU,B40+1,7),""))</f>
        <v>5289873.5</v>
      </c>
      <c r="BB40" s="119"/>
      <c r="BC40" s="188">
        <f>IF('Tabela PS'!$AZ$1=FALSE,"",_xlfn.IFERROR(INDEX('Tabela PS'!$AO:$AV,B40+1,8),""))</f>
        <v>5270727</v>
      </c>
      <c r="BD40" s="119"/>
      <c r="BE40" s="188">
        <f>IF('Tabela PS'!$AZ$1=FALSE,"",_xlfn.IFERROR(INDEX('Tabela PS'!$AO:$AW,B40+1,9),""))</f>
        <v>5327277.2</v>
      </c>
      <c r="BF40" s="119"/>
      <c r="BG40" s="188">
        <f>IF('Tabela PS'!$AZ$1=FALSE,"",_xlfn.IFERROR(INDEX('Tabela PS'!$AO:$AX,B40+1,10),""))</f>
        <v>5516226</v>
      </c>
    </row>
    <row r="41" spans="2:59" s="182" customFormat="1" ht="22.5" customHeight="1">
      <c r="B41" s="184">
        <f t="shared" si="0"/>
        <v>16</v>
      </c>
      <c r="C41" s="184"/>
      <c r="D41" s="184" t="str">
        <f>_xlfn.IFERROR('Tabela PS'!AN17,"")</f>
        <v>20.42</v>
      </c>
      <c r="F41" s="184" t="str">
        <f>_xlfn.IFERROR('Tabela PS'!AM17,"")</f>
        <v>Wyroby kosmetyczne i toaletowe</v>
      </c>
      <c r="G41" s="183"/>
      <c r="H41" s="345">
        <f>_xlfn.IFERROR(INDEX('Tabela PS'!$AO:$AX,B41+1,Wybrany_rok-2009),"")</f>
        <v>7530731.4</v>
      </c>
      <c r="I41" s="246"/>
      <c r="J41" s="403">
        <f>IF(Wybrany_rok=2010,"",_xlfn.IFERROR(INDEX('Tabela PS'!$AO:$AW,B41+1,Wybrany_rok-2010),""))</f>
        <v>7405532.8</v>
      </c>
      <c r="K41" s="403"/>
      <c r="L41" s="403"/>
      <c r="M41" s="403"/>
      <c r="N41" s="403"/>
      <c r="O41" s="187"/>
      <c r="P41" s="402">
        <f t="shared" si="1"/>
        <v>101.69060894578715</v>
      </c>
      <c r="Q41" s="402"/>
      <c r="R41" s="402"/>
      <c r="S41" s="402"/>
      <c r="T41" s="402"/>
      <c r="U41" s="247"/>
      <c r="V41" s="399"/>
      <c r="W41" s="399"/>
      <c r="X41" s="399"/>
      <c r="Y41" s="399"/>
      <c r="Z41" s="399"/>
      <c r="AA41" s="399"/>
      <c r="AB41" s="399"/>
      <c r="AC41" s="399"/>
      <c r="AD41" s="399"/>
      <c r="AE41" s="399"/>
      <c r="AF41" s="399"/>
      <c r="AH41" s="402">
        <f>_xlfn.IFERROR(INDEX('Tabela PS'!$AY:$AY,B41+1,1),"")</f>
        <v>148.6827866063127</v>
      </c>
      <c r="AI41" s="402"/>
      <c r="AJ41" s="402"/>
      <c r="AK41" s="402"/>
      <c r="AL41" s="402"/>
      <c r="AO41" s="188">
        <f>IF('Tabela PS'!$AZ$1=FALSE,"",_xlfn.IFERROR(INDEX('Tabela PS'!$AO:$AU,B41+1,1),""))</f>
        <v>5064965.2</v>
      </c>
      <c r="AP41" s="249"/>
      <c r="AQ41" s="188">
        <f>IF('Tabela PS'!$AZ$1=FALSE,"",_xlfn.IFERROR(INDEX('Tabela PS'!$AO:$AU,B41+1,2),""))</f>
        <v>6219519.3</v>
      </c>
      <c r="AR41" s="249"/>
      <c r="AS41" s="188">
        <f>IF('Tabela PS'!$AZ$1=FALSE,"",_xlfn.IFERROR(INDEX('Tabela PS'!$AO:$AU,B41+1,3),""))</f>
        <v>6333445.5</v>
      </c>
      <c r="AT41" s="249"/>
      <c r="AU41" s="188">
        <f>IF('Tabela PS'!$AZ$1=FALSE,"",_xlfn.IFERROR(INDEX('Tabela PS'!$AO:$AU,B41+1,4),""))</f>
        <v>6614867.8</v>
      </c>
      <c r="AV41" s="249"/>
      <c r="AW41" s="188">
        <f>IF('Tabela PS'!$AZ$1=FALSE,"",_xlfn.IFERROR(INDEX('Tabela PS'!$AO:$AU,B41+1,5),""))</f>
        <v>6037190.2</v>
      </c>
      <c r="AX41" s="249"/>
      <c r="AY41" s="188">
        <f>IF('Tabela PS'!$AZ$1=FALSE,"",_xlfn.IFERROR(INDEX('Tabela PS'!$AO:$AU,B41+1,6),""))</f>
        <v>6390562.4</v>
      </c>
      <c r="AZ41" s="249"/>
      <c r="BA41" s="188">
        <f>IF('Tabela PS'!$AZ$1=FALSE,"",_xlfn.IFERROR(INDEX('Tabela PS'!$AO:$AU,B41+1,7),""))</f>
        <v>7175577.9</v>
      </c>
      <c r="BB41" s="119"/>
      <c r="BC41" s="188">
        <f>IF('Tabela PS'!$AZ$1=FALSE,"",_xlfn.IFERROR(INDEX('Tabela PS'!$AO:$AV,B41+1,8),""))</f>
        <v>7617632.6</v>
      </c>
      <c r="BD41" s="119"/>
      <c r="BE41" s="188">
        <f>IF('Tabela PS'!$AZ$1=FALSE,"",_xlfn.IFERROR(INDEX('Tabela PS'!$AO:$AW,B41+1,9),""))</f>
        <v>7405532.8</v>
      </c>
      <c r="BF41" s="119"/>
      <c r="BG41" s="188">
        <f>IF('Tabela PS'!$AZ$1=FALSE,"",_xlfn.IFERROR(INDEX('Tabela PS'!$AO:$AX,B41+1,10),""))</f>
        <v>7530731.4</v>
      </c>
    </row>
    <row r="42" spans="2:59" s="182" customFormat="1" ht="22.5" customHeight="1">
      <c r="B42" s="184">
        <f t="shared" si="0"/>
        <v>17</v>
      </c>
      <c r="C42" s="184"/>
      <c r="D42" s="184" t="str">
        <f>_xlfn.IFERROR('Tabela PS'!AN18,"")</f>
        <v>20.5</v>
      </c>
      <c r="F42" s="184" t="str">
        <f>_xlfn.IFERROR('Tabela PS'!AM18,"")</f>
        <v>Pozostałe wyroby chemiczne</v>
      </c>
      <c r="G42" s="183"/>
      <c r="H42" s="345">
        <f>_xlfn.IFERROR(INDEX('Tabela PS'!$AO:$AX,B42+1,Wybrany_rok-2009),"")</f>
        <v>8248314.1</v>
      </c>
      <c r="I42" s="246"/>
      <c r="J42" s="403">
        <f>IF(Wybrany_rok=2010,"",_xlfn.IFERROR(INDEX('Tabela PS'!$AO:$AW,B42+1,Wybrany_rok-2010),""))</f>
        <v>7386872.1</v>
      </c>
      <c r="K42" s="403"/>
      <c r="L42" s="403"/>
      <c r="M42" s="403"/>
      <c r="N42" s="403"/>
      <c r="O42" s="187"/>
      <c r="P42" s="402">
        <f t="shared" si="1"/>
        <v>111.66179660806637</v>
      </c>
      <c r="Q42" s="402"/>
      <c r="R42" s="402"/>
      <c r="S42" s="402"/>
      <c r="T42" s="402"/>
      <c r="U42" s="247"/>
      <c r="V42" s="399"/>
      <c r="W42" s="399"/>
      <c r="X42" s="399"/>
      <c r="Y42" s="399"/>
      <c r="Z42" s="399"/>
      <c r="AA42" s="399"/>
      <c r="AB42" s="399"/>
      <c r="AC42" s="399"/>
      <c r="AD42" s="399"/>
      <c r="AE42" s="399"/>
      <c r="AF42" s="399"/>
      <c r="AH42" s="402">
        <f>_xlfn.IFERROR(INDEX('Tabela PS'!$AY:$AY,B42+1,1),"")</f>
        <v>255.02878410288773</v>
      </c>
      <c r="AI42" s="402"/>
      <c r="AJ42" s="402"/>
      <c r="AK42" s="402"/>
      <c r="AL42" s="402"/>
      <c r="AO42" s="188">
        <f>IF('Tabela PS'!$AZ$1=FALSE,"",_xlfn.IFERROR(INDEX('Tabela PS'!$AO:$AU,B42+1,1),""))</f>
        <v>3234267.9</v>
      </c>
      <c r="AP42" s="249"/>
      <c r="AQ42" s="188">
        <f>IF('Tabela PS'!$AZ$1=FALSE,"",_xlfn.IFERROR(INDEX('Tabela PS'!$AO:$AU,B42+1,2),""))</f>
        <v>3926683</v>
      </c>
      <c r="AR42" s="249"/>
      <c r="AS42" s="188">
        <f>IF('Tabela PS'!$AZ$1=FALSE,"",_xlfn.IFERROR(INDEX('Tabela PS'!$AO:$AU,B42+1,3),""))</f>
        <v>4790102.1</v>
      </c>
      <c r="AT42" s="249"/>
      <c r="AU42" s="188">
        <f>IF('Tabela PS'!$AZ$1=FALSE,"",_xlfn.IFERROR(INDEX('Tabela PS'!$AO:$AU,B42+1,4),""))</f>
        <v>4815885.8</v>
      </c>
      <c r="AV42" s="249"/>
      <c r="AW42" s="188">
        <f>IF('Tabela PS'!$AZ$1=FALSE,"",_xlfn.IFERROR(INDEX('Tabela PS'!$AO:$AU,B42+1,5),""))</f>
        <v>4599559</v>
      </c>
      <c r="AX42" s="249"/>
      <c r="AY42" s="188">
        <f>IF('Tabela PS'!$AZ$1=FALSE,"",_xlfn.IFERROR(INDEX('Tabela PS'!$AO:$AU,B42+1,6),""))</f>
        <v>5339695.9</v>
      </c>
      <c r="AZ42" s="249"/>
      <c r="BA42" s="188">
        <f>IF('Tabela PS'!$AZ$1=FALSE,"",_xlfn.IFERROR(INDEX('Tabela PS'!$AO:$AU,B42+1,7),""))</f>
        <v>7260756.4</v>
      </c>
      <c r="BB42" s="119"/>
      <c r="BC42" s="188">
        <f>IF('Tabela PS'!$AZ$1=FALSE,"",_xlfn.IFERROR(INDEX('Tabela PS'!$AO:$AV,B42+1,8),""))</f>
        <v>7619853.3</v>
      </c>
      <c r="BD42" s="119"/>
      <c r="BE42" s="188">
        <f>IF('Tabela PS'!$AZ$1=FALSE,"",_xlfn.IFERROR(INDEX('Tabela PS'!$AO:$AW,B42+1,9),""))</f>
        <v>7386872.1</v>
      </c>
      <c r="BF42" s="119"/>
      <c r="BG42" s="188">
        <f>IF('Tabela PS'!$AZ$1=FALSE,"",_xlfn.IFERROR(INDEX('Tabela PS'!$AO:$AX,B42+1,10),""))</f>
        <v>8248314.1</v>
      </c>
    </row>
    <row r="43" spans="2:59" s="182" customFormat="1" ht="22.5" customHeight="1">
      <c r="B43" s="184">
        <f t="shared" si="0"/>
        <v>18</v>
      </c>
      <c r="C43" s="184"/>
      <c r="D43" s="184" t="str">
        <f>_xlfn.IFERROR('Tabela PS'!AN19,"")</f>
        <v>20.51</v>
      </c>
      <c r="F43" s="184" t="str">
        <f>_xlfn.IFERROR('Tabela PS'!AM19,"")</f>
        <v>Materiały wybuchowe; zapałki</v>
      </c>
      <c r="G43" s="183"/>
      <c r="H43" s="345">
        <f>_xlfn.IFERROR(INDEX('Tabela PS'!$AO:$AX,B43+1,Wybrany_rok-2009),"")</f>
        <v>548968.8</v>
      </c>
      <c r="I43" s="246"/>
      <c r="J43" s="403">
        <f>IF(Wybrany_rok=2010,"",_xlfn.IFERROR(INDEX('Tabela PS'!$AO:$AW,B43+1,Wybrany_rok-2010),""))</f>
        <v>578743.6</v>
      </c>
      <c r="K43" s="403"/>
      <c r="L43" s="403"/>
      <c r="M43" s="403"/>
      <c r="N43" s="403"/>
      <c r="O43" s="187"/>
      <c r="P43" s="402">
        <f t="shared" si="1"/>
        <v>94.85526924185427</v>
      </c>
      <c r="Q43" s="402"/>
      <c r="R43" s="402"/>
      <c r="S43" s="402"/>
      <c r="T43" s="402"/>
      <c r="U43" s="247"/>
      <c r="V43" s="399"/>
      <c r="W43" s="399"/>
      <c r="X43" s="399"/>
      <c r="Y43" s="399"/>
      <c r="Z43" s="399"/>
      <c r="AA43" s="399"/>
      <c r="AB43" s="399"/>
      <c r="AC43" s="399"/>
      <c r="AD43" s="399"/>
      <c r="AE43" s="399"/>
      <c r="AF43" s="399"/>
      <c r="AH43" s="402">
        <f>_xlfn.IFERROR(INDEX('Tabela PS'!$AY:$AY,B43+1,1),"")</f>
        <v>158.45541925241739</v>
      </c>
      <c r="AI43" s="402"/>
      <c r="AJ43" s="402"/>
      <c r="AK43" s="402"/>
      <c r="AL43" s="402"/>
      <c r="AO43" s="188">
        <f>IF('Tabela PS'!$AZ$1=FALSE,"",_xlfn.IFERROR(INDEX('Tabela PS'!$AO:$AU,B43+1,1),""))</f>
        <v>346450</v>
      </c>
      <c r="AP43" s="249"/>
      <c r="AQ43" s="188">
        <f>IF('Tabela PS'!$AZ$1=FALSE,"",_xlfn.IFERROR(INDEX('Tabela PS'!$AO:$AU,B43+1,2),""))</f>
        <v>331067.9</v>
      </c>
      <c r="AR43" s="249"/>
      <c r="AS43" s="188">
        <f>IF('Tabela PS'!$AZ$1=FALSE,"",_xlfn.IFERROR(INDEX('Tabela PS'!$AO:$AU,B43+1,3),""))</f>
        <v>319366.7</v>
      </c>
      <c r="AT43" s="249"/>
      <c r="AU43" s="188">
        <f>IF('Tabela PS'!$AZ$1=FALSE,"",_xlfn.IFERROR(INDEX('Tabela PS'!$AO:$AU,B43+1,4),""))</f>
        <v>337419.3</v>
      </c>
      <c r="AV43" s="249"/>
      <c r="AW43" s="188">
        <f>IF('Tabela PS'!$AZ$1=FALSE,"",_xlfn.IFERROR(INDEX('Tabela PS'!$AO:$AU,B43+1,5),""))</f>
        <v>334664.3</v>
      </c>
      <c r="AX43" s="249"/>
      <c r="AY43" s="188">
        <f>IF('Tabela PS'!$AZ$1=FALSE,"",_xlfn.IFERROR(INDEX('Tabela PS'!$AO:$AU,B43+1,6),""))</f>
        <v>429862.3</v>
      </c>
      <c r="AZ43" s="249"/>
      <c r="BA43" s="188">
        <f>IF('Tabela PS'!$AZ$1=FALSE,"",_xlfn.IFERROR(INDEX('Tabela PS'!$AO:$AU,B43+1,7),""))</f>
        <v>448663.2</v>
      </c>
      <c r="BB43" s="119"/>
      <c r="BC43" s="188">
        <f>IF('Tabela PS'!$AZ$1=FALSE,"",_xlfn.IFERROR(INDEX('Tabela PS'!$AO:$AV,B43+1,8),""))</f>
        <v>550136.4</v>
      </c>
      <c r="BD43" s="119"/>
      <c r="BE43" s="188">
        <f>IF('Tabela PS'!$AZ$1=FALSE,"",_xlfn.IFERROR(INDEX('Tabela PS'!$AO:$AW,B43+1,9),""))</f>
        <v>578743.6</v>
      </c>
      <c r="BF43" s="119"/>
      <c r="BG43" s="188">
        <f>IF('Tabela PS'!$AZ$1=FALSE,"",_xlfn.IFERROR(INDEX('Tabela PS'!$AO:$AX,B43+1,10),""))</f>
        <v>548968.8</v>
      </c>
    </row>
    <row r="44" spans="2:59" s="182" customFormat="1" ht="22.5" customHeight="1">
      <c r="B44" s="184">
        <f t="shared" si="0"/>
        <v>19</v>
      </c>
      <c r="C44" s="184"/>
      <c r="D44" s="184" t="str">
        <f>_xlfn.IFERROR('Tabela PS'!AN20,"")</f>
        <v>20.52</v>
      </c>
      <c r="F44" s="184" t="str">
        <f>_xlfn.IFERROR('Tabela PS'!AM20,"")</f>
        <v>Kleje</v>
      </c>
      <c r="G44" s="183"/>
      <c r="H44" s="345">
        <f>_xlfn.IFERROR(INDEX('Tabela PS'!$AO:$AX,B44+1,Wybrany_rok-2009),"")</f>
        <v>915047.7</v>
      </c>
      <c r="I44" s="246"/>
      <c r="J44" s="403">
        <f>IF(Wybrany_rok=2010,"",_xlfn.IFERROR(INDEX('Tabela PS'!$AO:$AW,B44+1,Wybrany_rok-2010),""))</f>
        <v>772338.2</v>
      </c>
      <c r="K44" s="403"/>
      <c r="L44" s="403"/>
      <c r="M44" s="403"/>
      <c r="N44" s="403"/>
      <c r="O44" s="187"/>
      <c r="P44" s="402">
        <f t="shared" si="1"/>
        <v>118.47759181146291</v>
      </c>
      <c r="Q44" s="402"/>
      <c r="R44" s="402"/>
      <c r="S44" s="402"/>
      <c r="T44" s="402"/>
      <c r="U44" s="247"/>
      <c r="V44" s="399"/>
      <c r="W44" s="399"/>
      <c r="X44" s="399"/>
      <c r="Y44" s="399"/>
      <c r="Z44" s="399"/>
      <c r="AA44" s="399"/>
      <c r="AB44" s="399"/>
      <c r="AC44" s="399"/>
      <c r="AD44" s="399"/>
      <c r="AE44" s="399"/>
      <c r="AF44" s="399"/>
      <c r="AH44" s="402">
        <f>_xlfn.IFERROR(INDEX('Tabela PS'!$AY:$AY,B44+1,1),"")</f>
        <v>246.53546813836624</v>
      </c>
      <c r="AI44" s="402"/>
      <c r="AJ44" s="402"/>
      <c r="AK44" s="402"/>
      <c r="AL44" s="402"/>
      <c r="AO44" s="188">
        <f>IF('Tabela PS'!$AZ$1=FALSE,"",_xlfn.IFERROR(INDEX('Tabela PS'!$AO:$AU,B44+1,1),""))</f>
        <v>371162.7</v>
      </c>
      <c r="AP44" s="249"/>
      <c r="AQ44" s="188">
        <f>IF('Tabela PS'!$AZ$1=FALSE,"",_xlfn.IFERROR(INDEX('Tabela PS'!$AO:$AU,B44+1,2),""))</f>
        <v>365181.4</v>
      </c>
      <c r="AR44" s="249"/>
      <c r="AS44" s="188">
        <f>IF('Tabela PS'!$AZ$1=FALSE,"",_xlfn.IFERROR(INDEX('Tabela PS'!$AO:$AU,B44+1,3),""))</f>
        <v>342136.4</v>
      </c>
      <c r="AT44" s="249"/>
      <c r="AU44" s="188">
        <f>IF('Tabela PS'!$AZ$1=FALSE,"",_xlfn.IFERROR(INDEX('Tabela PS'!$AO:$AU,B44+1,4),""))</f>
        <v>355319.3</v>
      </c>
      <c r="AV44" s="249"/>
      <c r="AW44" s="188">
        <f>IF('Tabela PS'!$AZ$1=FALSE,"",_xlfn.IFERROR(INDEX('Tabela PS'!$AO:$AU,B44+1,5),""))</f>
        <v>415247.6</v>
      </c>
      <c r="AX44" s="249"/>
      <c r="AY44" s="188">
        <f>IF('Tabela PS'!$AZ$1=FALSE,"",_xlfn.IFERROR(INDEX('Tabela PS'!$AO:$AU,B44+1,6),""))</f>
        <v>585000.1</v>
      </c>
      <c r="AZ44" s="249"/>
      <c r="BA44" s="188">
        <f>IF('Tabela PS'!$AZ$1=FALSE,"",_xlfn.IFERROR(INDEX('Tabela PS'!$AO:$AU,B44+1,7),""))</f>
        <v>625489</v>
      </c>
      <c r="BB44" s="119"/>
      <c r="BC44" s="188">
        <f>IF('Tabela PS'!$AZ$1=FALSE,"",_xlfn.IFERROR(INDEX('Tabela PS'!$AO:$AV,B44+1,8),""))</f>
        <v>689202.5</v>
      </c>
      <c r="BD44" s="119"/>
      <c r="BE44" s="188">
        <f>IF('Tabela PS'!$AZ$1=FALSE,"",_xlfn.IFERROR(INDEX('Tabela PS'!$AO:$AW,B44+1,9),""))</f>
        <v>772338.2</v>
      </c>
      <c r="BF44" s="119"/>
      <c r="BG44" s="188">
        <f>IF('Tabela PS'!$AZ$1=FALSE,"",_xlfn.IFERROR(INDEX('Tabela PS'!$AO:$AX,B44+1,10),""))</f>
        <v>915047.7</v>
      </c>
    </row>
    <row r="45" spans="2:59" s="182" customFormat="1" ht="22.5" customHeight="1">
      <c r="B45" s="184">
        <f t="shared" si="0"/>
        <v>20</v>
      </c>
      <c r="C45" s="184"/>
      <c r="D45" s="184" t="str">
        <f>_xlfn.IFERROR('Tabela PS'!AN21,"")</f>
        <v>20.53</v>
      </c>
      <c r="F45" s="184" t="str">
        <f>_xlfn.IFERROR('Tabela PS'!AM21,"")</f>
        <v>Olejki eteryczne; mieszaniny substancji zapachowych</v>
      </c>
      <c r="G45" s="183"/>
      <c r="H45" s="345">
        <f>_xlfn.IFERROR(INDEX('Tabela PS'!$AO:$AX,B45+1,Wybrany_rok-2009),"")</f>
        <v>207431.6</v>
      </c>
      <c r="I45" s="246"/>
      <c r="J45" s="403">
        <f>IF(Wybrany_rok=2010,"",_xlfn.IFERROR(INDEX('Tabela PS'!$AO:$AW,B45+1,Wybrany_rok-2010),""))</f>
        <v>208507.5</v>
      </c>
      <c r="K45" s="403"/>
      <c r="L45" s="403"/>
      <c r="M45" s="403"/>
      <c r="N45" s="403"/>
      <c r="O45" s="187"/>
      <c r="P45" s="402">
        <f t="shared" si="1"/>
        <v>99.48399937652123</v>
      </c>
      <c r="Q45" s="402"/>
      <c r="R45" s="402"/>
      <c r="S45" s="402"/>
      <c r="T45" s="402"/>
      <c r="U45" s="247"/>
      <c r="V45" s="399"/>
      <c r="W45" s="399"/>
      <c r="X45" s="399"/>
      <c r="Y45" s="399"/>
      <c r="Z45" s="399"/>
      <c r="AA45" s="399"/>
      <c r="AB45" s="399"/>
      <c r="AC45" s="399"/>
      <c r="AD45" s="399"/>
      <c r="AE45" s="399"/>
      <c r="AF45" s="399"/>
      <c r="AH45" s="402">
        <f>_xlfn.IFERROR(INDEX('Tabela PS'!$AY:$AY,B45+1,1),"")</f>
        <v>213.27117812833188</v>
      </c>
      <c r="AI45" s="402"/>
      <c r="AJ45" s="402"/>
      <c r="AK45" s="402"/>
      <c r="AL45" s="402"/>
      <c r="AO45" s="188">
        <f>IF('Tabela PS'!$AZ$1=FALSE,"",_xlfn.IFERROR(INDEX('Tabela PS'!$AO:$AU,B45+1,1),""))</f>
        <v>97261.9</v>
      </c>
      <c r="AP45" s="249"/>
      <c r="AQ45" s="188">
        <f>IF('Tabela PS'!$AZ$1=FALSE,"",_xlfn.IFERROR(INDEX('Tabela PS'!$AO:$AU,B45+1,2),""))</f>
        <v>77812.6</v>
      </c>
      <c r="AR45" s="249"/>
      <c r="AS45" s="188">
        <f>IF('Tabela PS'!$AZ$1=FALSE,"",_xlfn.IFERROR(INDEX('Tabela PS'!$AO:$AU,B45+1,3),""))</f>
        <v>79523.2</v>
      </c>
      <c r="AT45" s="249"/>
      <c r="AU45" s="188">
        <f>IF('Tabela PS'!$AZ$1=FALSE,"",_xlfn.IFERROR(INDEX('Tabela PS'!$AO:$AU,B45+1,4),""))</f>
        <v>75309.8</v>
      </c>
      <c r="AV45" s="249"/>
      <c r="AW45" s="188">
        <f>IF('Tabela PS'!$AZ$1=FALSE,"",_xlfn.IFERROR(INDEX('Tabela PS'!$AO:$AU,B45+1,5),""))</f>
        <v>120326.3</v>
      </c>
      <c r="AX45" s="249"/>
      <c r="AY45" s="188">
        <f>IF('Tabela PS'!$AZ$1=FALSE,"",_xlfn.IFERROR(INDEX('Tabela PS'!$AO:$AU,B45+1,6),""))</f>
        <v>163444.9</v>
      </c>
      <c r="AZ45" s="249"/>
      <c r="BA45" s="188">
        <f>IF('Tabela PS'!$AZ$1=FALSE,"",_xlfn.IFERROR(INDEX('Tabela PS'!$AO:$AU,B45+1,7),""))</f>
        <v>173462.4</v>
      </c>
      <c r="BB45" s="119"/>
      <c r="BC45" s="188">
        <f>IF('Tabela PS'!$AZ$1=FALSE,"",_xlfn.IFERROR(INDEX('Tabela PS'!$AO:$AV,B45+1,8),""))</f>
        <v>192675.8</v>
      </c>
      <c r="BD45" s="119"/>
      <c r="BE45" s="188">
        <f>IF('Tabela PS'!$AZ$1=FALSE,"",_xlfn.IFERROR(INDEX('Tabela PS'!$AO:$AW,B45+1,9),""))</f>
        <v>208507.5</v>
      </c>
      <c r="BF45" s="119"/>
      <c r="BG45" s="188">
        <f>IF('Tabela PS'!$AZ$1=FALSE,"",_xlfn.IFERROR(INDEX('Tabela PS'!$AO:$AX,B45+1,10),""))</f>
        <v>207431.6</v>
      </c>
    </row>
    <row r="46" spans="2:59" s="182" customFormat="1" ht="22.5" customHeight="1">
      <c r="B46" s="184">
        <f t="shared" si="0"/>
        <v>21</v>
      </c>
      <c r="C46" s="184"/>
      <c r="D46" s="184" t="str">
        <f>_xlfn.IFERROR('Tabela PS'!AN22,"")</f>
        <v>20.59</v>
      </c>
      <c r="F46" s="184" t="str">
        <f>_xlfn.IFERROR('Tabela PS'!AM22,"")</f>
        <v>Pozostałe wyroby chemiczne, gdzie indziej niesklasyfikowane</v>
      </c>
      <c r="G46" s="183"/>
      <c r="H46" s="345">
        <f>_xlfn.IFERROR(INDEX('Tabela PS'!$AO:$AX,B46+1,Wybrany_rok-2009),"")</f>
        <v>6576866</v>
      </c>
      <c r="I46" s="246"/>
      <c r="J46" s="403">
        <f>IF(Wybrany_rok=2010,"",_xlfn.IFERROR(INDEX('Tabela PS'!$AO:$AW,B46+1,Wybrany_rok-2010),""))</f>
        <v>5827282.8</v>
      </c>
      <c r="K46" s="403"/>
      <c r="L46" s="403"/>
      <c r="M46" s="403"/>
      <c r="N46" s="403"/>
      <c r="O46" s="187"/>
      <c r="P46" s="402">
        <f t="shared" si="1"/>
        <v>112.86334001157452</v>
      </c>
      <c r="Q46" s="402"/>
      <c r="R46" s="402"/>
      <c r="S46" s="402"/>
      <c r="T46" s="402"/>
      <c r="U46" s="247"/>
      <c r="V46" s="399"/>
      <c r="W46" s="399"/>
      <c r="X46" s="399"/>
      <c r="Y46" s="399"/>
      <c r="Z46" s="399"/>
      <c r="AA46" s="399"/>
      <c r="AB46" s="399"/>
      <c r="AC46" s="399"/>
      <c r="AD46" s="399"/>
      <c r="AE46" s="399"/>
      <c r="AF46" s="399"/>
      <c r="AH46" s="402">
        <f>_xlfn.IFERROR(INDEX('Tabela PS'!$AY:$AY,B46+1,1),"")</f>
        <v>271.83947314394896</v>
      </c>
      <c r="AI46" s="402"/>
      <c r="AJ46" s="402"/>
      <c r="AK46" s="402"/>
      <c r="AL46" s="402"/>
      <c r="AO46" s="188">
        <f>IF('Tabela PS'!$AZ$1=FALSE,"",_xlfn.IFERROR(INDEX('Tabela PS'!$AO:$AU,B46+1,1),""))</f>
        <v>2419393.3</v>
      </c>
      <c r="AP46" s="249"/>
      <c r="AQ46" s="188">
        <f>IF('Tabela PS'!$AZ$1=FALSE,"",_xlfn.IFERROR(INDEX('Tabela PS'!$AO:$AU,B46+1,2),""))</f>
        <v>3152621.1</v>
      </c>
      <c r="AR46" s="249"/>
      <c r="AS46" s="188">
        <f>IF('Tabela PS'!$AZ$1=FALSE,"",_xlfn.IFERROR(INDEX('Tabela PS'!$AO:$AU,B46+1,3),""))</f>
        <v>4049075.8</v>
      </c>
      <c r="AT46" s="249"/>
      <c r="AU46" s="188">
        <f>IF('Tabela PS'!$AZ$1=FALSE,"",_xlfn.IFERROR(INDEX('Tabela PS'!$AO:$AU,B46+1,4),""))</f>
        <v>4047837.4</v>
      </c>
      <c r="AV46" s="249"/>
      <c r="AW46" s="188">
        <f>IF('Tabela PS'!$AZ$1=FALSE,"",_xlfn.IFERROR(INDEX('Tabela PS'!$AO:$AU,B46+1,5),""))</f>
        <v>3729320.8</v>
      </c>
      <c r="AX46" s="249"/>
      <c r="AY46" s="188">
        <f>IF('Tabela PS'!$AZ$1=FALSE,"",_xlfn.IFERROR(INDEX('Tabela PS'!$AO:$AU,B46+1,6),""))</f>
        <v>4161388.6</v>
      </c>
      <c r="AZ46" s="249"/>
      <c r="BA46" s="188">
        <f>IF('Tabela PS'!$AZ$1=FALSE,"",_xlfn.IFERROR(INDEX('Tabela PS'!$AO:$AU,B46+1,7),""))</f>
        <v>6013141.8</v>
      </c>
      <c r="BB46" s="119"/>
      <c r="BC46" s="188">
        <f>IF('Tabela PS'!$AZ$1=FALSE,"",_xlfn.IFERROR(INDEX('Tabela PS'!$AO:$AV,B46+1,8),""))</f>
        <v>6187838.6</v>
      </c>
      <c r="BD46" s="119"/>
      <c r="BE46" s="188">
        <f>IF('Tabela PS'!$AZ$1=FALSE,"",_xlfn.IFERROR(INDEX('Tabela PS'!$AO:$AW,B46+1,9),""))</f>
        <v>5827282.8</v>
      </c>
      <c r="BF46" s="119"/>
      <c r="BG46" s="188">
        <f>IF('Tabela PS'!$AZ$1=FALSE,"",_xlfn.IFERROR(INDEX('Tabela PS'!$AO:$AX,B46+1,10),""))</f>
        <v>6576866</v>
      </c>
    </row>
    <row r="47" spans="2:59" s="182" customFormat="1" ht="22.5" customHeight="1">
      <c r="B47" s="184">
        <f t="shared" si="0"/>
        <v>22</v>
      </c>
      <c r="C47" s="184"/>
      <c r="D47" s="184" t="str">
        <f>_xlfn.IFERROR('Tabela PS'!AN23,"")</f>
        <v>20.6</v>
      </c>
      <c r="F47" s="184" t="str">
        <f>_xlfn.IFERROR('Tabela PS'!AM23,"")</f>
        <v>Włókna chemiczne</v>
      </c>
      <c r="G47" s="183"/>
      <c r="H47" s="345">
        <f>_xlfn.IFERROR(INDEX('Tabela PS'!$AO:$AX,B47+1,Wybrany_rok-2009),"")</f>
        <v>416681.8</v>
      </c>
      <c r="I47" s="246"/>
      <c r="J47" s="403">
        <f>IF(Wybrany_rok=2010,"",_xlfn.IFERROR(INDEX('Tabela PS'!$AO:$AW,B47+1,Wybrany_rok-2010),""))</f>
        <v>463943.9</v>
      </c>
      <c r="K47" s="403"/>
      <c r="L47" s="403"/>
      <c r="M47" s="403"/>
      <c r="N47" s="403"/>
      <c r="O47" s="187"/>
      <c r="P47" s="402">
        <f t="shared" si="1"/>
        <v>89.8129709216998</v>
      </c>
      <c r="Q47" s="402"/>
      <c r="R47" s="402"/>
      <c r="S47" s="402"/>
      <c r="T47" s="402"/>
      <c r="U47" s="247"/>
      <c r="V47" s="399"/>
      <c r="W47" s="399"/>
      <c r="X47" s="399"/>
      <c r="Y47" s="399"/>
      <c r="Z47" s="399"/>
      <c r="AA47" s="399"/>
      <c r="AB47" s="399"/>
      <c r="AC47" s="399"/>
      <c r="AD47" s="399"/>
      <c r="AE47" s="399"/>
      <c r="AF47" s="399"/>
      <c r="AH47" s="402">
        <f>_xlfn.IFERROR(INDEX('Tabela PS'!$AY:$AY,B47+1,1),"")</f>
        <v>122.37760676862604</v>
      </c>
      <c r="AI47" s="402"/>
      <c r="AJ47" s="402"/>
      <c r="AK47" s="402"/>
      <c r="AL47" s="402"/>
      <c r="AO47" s="188">
        <f>IF('Tabela PS'!$AZ$1=FALSE,"",_xlfn.IFERROR(INDEX('Tabela PS'!$AO:$AU,B47+1,1),""))</f>
        <v>340488.6</v>
      </c>
      <c r="AP47" s="249"/>
      <c r="AQ47" s="188">
        <f>IF('Tabela PS'!$AZ$1=FALSE,"",_xlfn.IFERROR(INDEX('Tabela PS'!$AO:$AU,B47+1,2),""))</f>
        <v>399654.6</v>
      </c>
      <c r="AR47" s="249"/>
      <c r="AS47" s="188">
        <f>IF('Tabela PS'!$AZ$1=FALSE,"",_xlfn.IFERROR(INDEX('Tabela PS'!$AO:$AU,B47+1,3),""))</f>
        <v>412551.5</v>
      </c>
      <c r="AT47" s="249"/>
      <c r="AU47" s="188">
        <f>IF('Tabela PS'!$AZ$1=FALSE,"",_xlfn.IFERROR(INDEX('Tabela PS'!$AO:$AU,B47+1,4),""))</f>
        <v>393953</v>
      </c>
      <c r="AV47" s="249"/>
      <c r="AW47" s="188">
        <f>IF('Tabela PS'!$AZ$1=FALSE,"",_xlfn.IFERROR(INDEX('Tabela PS'!$AO:$AU,B47+1,5),""))</f>
        <v>378040.9</v>
      </c>
      <c r="AX47" s="249"/>
      <c r="AY47" s="188">
        <f>IF('Tabela PS'!$AZ$1=FALSE,"",_xlfn.IFERROR(INDEX('Tabela PS'!$AO:$AU,B47+1,6),""))</f>
        <v>360637.9</v>
      </c>
      <c r="AZ47" s="249"/>
      <c r="BA47" s="188">
        <f>IF('Tabela PS'!$AZ$1=FALSE,"",_xlfn.IFERROR(INDEX('Tabela PS'!$AO:$AU,B47+1,7),""))</f>
        <v>399410.9</v>
      </c>
      <c r="BB47" s="119"/>
      <c r="BC47" s="188">
        <f>IF('Tabela PS'!$AZ$1=FALSE,"",_xlfn.IFERROR(INDEX('Tabela PS'!$AO:$AV,B47+1,8),""))</f>
        <v>459830.4</v>
      </c>
      <c r="BD47" s="119"/>
      <c r="BE47" s="188">
        <f>IF('Tabela PS'!$AZ$1=FALSE,"",_xlfn.IFERROR(INDEX('Tabela PS'!$AO:$AW,B47+1,9),""))</f>
        <v>463943.9</v>
      </c>
      <c r="BF47" s="119"/>
      <c r="BG47" s="188">
        <f>IF('Tabela PS'!$AZ$1=FALSE,"",_xlfn.IFERROR(INDEX('Tabela PS'!$AO:$AX,B47+1,10),""))</f>
        <v>416681.8</v>
      </c>
    </row>
    <row r="48" spans="2:59" s="182" customFormat="1" ht="22.5" customHeight="1">
      <c r="B48" s="184">
        <f t="shared" si="0"/>
        <v>23</v>
      </c>
      <c r="C48" s="184"/>
      <c r="D48" s="184" t="str">
        <f>_xlfn.IFERROR('Tabela PS'!AN24,"")</f>
        <v>20.60</v>
      </c>
      <c r="F48" s="184" t="str">
        <f>_xlfn.IFERROR('Tabela PS'!AM24,"")</f>
        <v>Włókna chemiczne</v>
      </c>
      <c r="G48" s="183"/>
      <c r="H48" s="345">
        <f>_xlfn.IFERROR(INDEX('Tabela PS'!$AO:$AX,B48+1,Wybrany_rok-2009),"")</f>
        <v>416681.8</v>
      </c>
      <c r="I48" s="246"/>
      <c r="J48" s="403">
        <f>IF(Wybrany_rok=2010,"",_xlfn.IFERROR(INDEX('Tabela PS'!$AO:$AW,B48+1,Wybrany_rok-2010),""))</f>
        <v>463943.9</v>
      </c>
      <c r="K48" s="403"/>
      <c r="L48" s="403"/>
      <c r="M48" s="403"/>
      <c r="N48" s="403"/>
      <c r="O48" s="187"/>
      <c r="P48" s="402">
        <f t="shared" si="1"/>
        <v>89.8129709216998</v>
      </c>
      <c r="Q48" s="402"/>
      <c r="R48" s="402"/>
      <c r="S48" s="402"/>
      <c r="T48" s="402"/>
      <c r="U48" s="247"/>
      <c r="V48" s="399"/>
      <c r="W48" s="399"/>
      <c r="X48" s="399"/>
      <c r="Y48" s="399"/>
      <c r="Z48" s="399"/>
      <c r="AA48" s="399"/>
      <c r="AB48" s="399"/>
      <c r="AC48" s="399"/>
      <c r="AD48" s="399"/>
      <c r="AE48" s="399"/>
      <c r="AF48" s="399"/>
      <c r="AH48" s="402">
        <f>_xlfn.IFERROR(INDEX('Tabela PS'!$AY:$AY,B48+1,1),"")</f>
        <v>122.37760676862604</v>
      </c>
      <c r="AI48" s="402"/>
      <c r="AJ48" s="402"/>
      <c r="AK48" s="402"/>
      <c r="AL48" s="402"/>
      <c r="AO48" s="188">
        <f>IF('Tabela PS'!$AZ$1=FALSE,"",_xlfn.IFERROR(INDEX('Tabela PS'!$AO:$AU,B48+1,1),""))</f>
        <v>340488.6</v>
      </c>
      <c r="AP48" s="249"/>
      <c r="AQ48" s="188">
        <f>IF('Tabela PS'!$AZ$1=FALSE,"",_xlfn.IFERROR(INDEX('Tabela PS'!$AO:$AU,B48+1,2),""))</f>
        <v>399654.6</v>
      </c>
      <c r="AR48" s="249"/>
      <c r="AS48" s="188">
        <f>IF('Tabela PS'!$AZ$1=FALSE,"",_xlfn.IFERROR(INDEX('Tabela PS'!$AO:$AU,B48+1,3),""))</f>
        <v>412551.5</v>
      </c>
      <c r="AT48" s="249"/>
      <c r="AU48" s="188">
        <f>IF('Tabela PS'!$AZ$1=FALSE,"",_xlfn.IFERROR(INDEX('Tabela PS'!$AO:$AU,B48+1,4),""))</f>
        <v>393953</v>
      </c>
      <c r="AV48" s="249"/>
      <c r="AW48" s="188">
        <f>IF('Tabela PS'!$AZ$1=FALSE,"",_xlfn.IFERROR(INDEX('Tabela PS'!$AO:$AU,B48+1,5),""))</f>
        <v>378040.9</v>
      </c>
      <c r="AX48" s="249"/>
      <c r="AY48" s="188">
        <f>IF('Tabela PS'!$AZ$1=FALSE,"",_xlfn.IFERROR(INDEX('Tabela PS'!$AO:$AU,B48+1,6),""))</f>
        <v>360637.9</v>
      </c>
      <c r="AZ48" s="249"/>
      <c r="BA48" s="188">
        <f>IF('Tabela PS'!$AZ$1=FALSE,"",_xlfn.IFERROR(INDEX('Tabela PS'!$AO:$AU,B48+1,7),""))</f>
        <v>399410.9</v>
      </c>
      <c r="BB48" s="119"/>
      <c r="BC48" s="188">
        <f>IF('Tabela PS'!$AZ$1=FALSE,"",_xlfn.IFERROR(INDEX('Tabela PS'!$AO:$AV,B48+1,8),""))</f>
        <v>459830.4</v>
      </c>
      <c r="BD48" s="119"/>
      <c r="BE48" s="188">
        <f>IF('Tabela PS'!$AZ$1=FALSE,"",_xlfn.IFERROR(INDEX('Tabela PS'!$AO:$AW,B48+1,9),""))</f>
        <v>463943.9</v>
      </c>
      <c r="BF48" s="119"/>
      <c r="BG48" s="188">
        <f>IF('Tabela PS'!$AZ$1=FALSE,"",_xlfn.IFERROR(INDEX('Tabela PS'!$AO:$AX,B48+1,10),""))</f>
        <v>416681.8</v>
      </c>
    </row>
    <row r="49" spans="2:59" s="182" customFormat="1" ht="22.5" customHeight="1">
      <c r="B49" s="184" t="str">
        <f t="shared" si="0"/>
        <v/>
      </c>
      <c r="C49" s="184"/>
      <c r="D49" s="184" t="str">
        <f>_xlfn.IFERROR('Tabela PS'!AN25,"")</f>
        <v/>
      </c>
      <c r="F49" s="184" t="str">
        <f>_xlfn.IFERROR('Tabela PS'!AM25,"")</f>
        <v/>
      </c>
      <c r="G49" s="183"/>
      <c r="H49" s="345" t="str">
        <f>_xlfn.IFERROR(INDEX('Tabela PS'!$AO:$AX,B49+1,Wybrany_rok-2009),"")</f>
        <v/>
      </c>
      <c r="I49" s="246"/>
      <c r="J49" s="403" t="str">
        <f>IF(Wybrany_rok=2010,"",_xlfn.IFERROR(INDEX('Tabela PS'!$AO:$AW,B49+1,Wybrany_rok-2010),""))</f>
        <v/>
      </c>
      <c r="K49" s="403"/>
      <c r="L49" s="403"/>
      <c r="M49" s="403"/>
      <c r="N49" s="403"/>
      <c r="O49" s="187"/>
      <c r="P49" s="402" t="str">
        <f t="shared" si="1"/>
        <v/>
      </c>
      <c r="Q49" s="402"/>
      <c r="R49" s="402"/>
      <c r="S49" s="402"/>
      <c r="T49" s="402"/>
      <c r="U49" s="247"/>
      <c r="V49" s="399"/>
      <c r="W49" s="399"/>
      <c r="X49" s="399"/>
      <c r="Y49" s="399"/>
      <c r="Z49" s="399"/>
      <c r="AA49" s="399"/>
      <c r="AB49" s="399"/>
      <c r="AC49" s="399"/>
      <c r="AD49" s="399"/>
      <c r="AE49" s="399"/>
      <c r="AF49" s="399"/>
      <c r="AH49" s="402" t="str">
        <f>_xlfn.IFERROR(INDEX('Tabela PS'!$AY:$AY,B49+1,1),"")</f>
        <v/>
      </c>
      <c r="AI49" s="402"/>
      <c r="AJ49" s="402"/>
      <c r="AK49" s="402"/>
      <c r="AL49" s="402"/>
      <c r="AO49" s="188" t="str">
        <f>IF('Tabela PS'!$AZ$1=FALSE,"",_xlfn.IFERROR(INDEX('Tabela PS'!$AO:$AU,B49+1,1),""))</f>
        <v/>
      </c>
      <c r="AP49" s="249"/>
      <c r="AQ49" s="188" t="str">
        <f>IF('Tabela PS'!$AZ$1=FALSE,"",_xlfn.IFERROR(INDEX('Tabela PS'!$AO:$AU,B49+1,2),""))</f>
        <v/>
      </c>
      <c r="AR49" s="249"/>
      <c r="AS49" s="188" t="str">
        <f>IF('Tabela PS'!$AZ$1=FALSE,"",_xlfn.IFERROR(INDEX('Tabela PS'!$AO:$AU,B49+1,3),""))</f>
        <v/>
      </c>
      <c r="AT49" s="249"/>
      <c r="AU49" s="188" t="str">
        <f>IF('Tabela PS'!$AZ$1=FALSE,"",_xlfn.IFERROR(INDEX('Tabela PS'!$AO:$AU,B49+1,4),""))</f>
        <v/>
      </c>
      <c r="AV49" s="249"/>
      <c r="AW49" s="188" t="str">
        <f>IF('Tabela PS'!$AZ$1=FALSE,"",_xlfn.IFERROR(INDEX('Tabela PS'!$AO:$AU,B49+1,5),""))</f>
        <v/>
      </c>
      <c r="AX49" s="249"/>
      <c r="AY49" s="188" t="str">
        <f>IF('Tabela PS'!$AZ$1=FALSE,"",_xlfn.IFERROR(INDEX('Tabela PS'!$AO:$AU,B49+1,6),""))</f>
        <v/>
      </c>
      <c r="AZ49" s="249"/>
      <c r="BA49" s="188" t="str">
        <f>IF('Tabela PS'!$AZ$1=FALSE,"",_xlfn.IFERROR(INDEX('Tabela PS'!$AO:$AU,B49+1,7),""))</f>
        <v/>
      </c>
      <c r="BB49" s="119"/>
      <c r="BC49" s="188" t="str">
        <f>IF('Tabela PS'!$AZ$1=FALSE,"",_xlfn.IFERROR(INDEX('Tabela PS'!$AO:$AV,B49+1,8),""))</f>
        <v/>
      </c>
      <c r="BD49" s="119"/>
      <c r="BE49" s="188" t="str">
        <f>IF('Tabela PS'!$AZ$1=FALSE,"",_xlfn.IFERROR(INDEX('Tabela PS'!$AO:$AW,B49+1,9),""))</f>
        <v/>
      </c>
      <c r="BF49" s="119"/>
      <c r="BG49" s="188" t="str">
        <f>IF('Tabela PS'!$AZ$1=FALSE,"",_xlfn.IFERROR(INDEX('Tabela PS'!$AO:$AX,B49+1,10),""))</f>
        <v/>
      </c>
    </row>
    <row r="50" spans="2:59" s="182" customFormat="1" ht="22.5" customHeight="1">
      <c r="B50" s="184" t="str">
        <f t="shared" si="0"/>
        <v/>
      </c>
      <c r="C50" s="184"/>
      <c r="D50" s="184" t="str">
        <f>_xlfn.IFERROR('Tabela PS'!AN26,"")</f>
        <v/>
      </c>
      <c r="F50" s="184" t="str">
        <f>_xlfn.IFERROR('Tabela PS'!AM26,"")</f>
        <v/>
      </c>
      <c r="G50" s="183"/>
      <c r="H50" s="345" t="str">
        <f>_xlfn.IFERROR(INDEX('Tabela PS'!$AO:$AX,B50+1,Wybrany_rok-2009),"")</f>
        <v/>
      </c>
      <c r="I50" s="246"/>
      <c r="J50" s="403" t="str">
        <f>IF(Wybrany_rok=2010,"",_xlfn.IFERROR(INDEX('Tabela PS'!$AO:$AW,B50+1,Wybrany_rok-2010),""))</f>
        <v/>
      </c>
      <c r="K50" s="403"/>
      <c r="L50" s="403"/>
      <c r="M50" s="403"/>
      <c r="N50" s="403"/>
      <c r="O50" s="187"/>
      <c r="P50" s="402" t="str">
        <f t="shared" si="1"/>
        <v/>
      </c>
      <c r="Q50" s="402"/>
      <c r="R50" s="402"/>
      <c r="S50" s="402"/>
      <c r="T50" s="402"/>
      <c r="U50" s="247"/>
      <c r="V50" s="399"/>
      <c r="W50" s="399"/>
      <c r="X50" s="399"/>
      <c r="Y50" s="399"/>
      <c r="Z50" s="399"/>
      <c r="AA50" s="399"/>
      <c r="AB50" s="399"/>
      <c r="AC50" s="399"/>
      <c r="AD50" s="399"/>
      <c r="AE50" s="399"/>
      <c r="AF50" s="399"/>
      <c r="AH50" s="402" t="str">
        <f>_xlfn.IFERROR(INDEX('Tabela PS'!$AY:$AY,B50+1,1),"")</f>
        <v/>
      </c>
      <c r="AI50" s="402"/>
      <c r="AJ50" s="402"/>
      <c r="AK50" s="402"/>
      <c r="AL50" s="402"/>
      <c r="AO50" s="188" t="str">
        <f>IF('Tabela PS'!$AZ$1=FALSE,"",_xlfn.IFERROR(INDEX('Tabela PS'!$AO:$AU,B50+1,1),""))</f>
        <v/>
      </c>
      <c r="AP50" s="249"/>
      <c r="AQ50" s="188" t="str">
        <f>IF('Tabela PS'!$AZ$1=FALSE,"",_xlfn.IFERROR(INDEX('Tabela PS'!$AO:$AU,B50+1,2),""))</f>
        <v/>
      </c>
      <c r="AR50" s="249"/>
      <c r="AS50" s="188" t="str">
        <f>IF('Tabela PS'!$AZ$1=FALSE,"",_xlfn.IFERROR(INDEX('Tabela PS'!$AO:$AU,B50+1,3),""))</f>
        <v/>
      </c>
      <c r="AT50" s="249"/>
      <c r="AU50" s="188" t="str">
        <f>IF('Tabela PS'!$AZ$1=FALSE,"",_xlfn.IFERROR(INDEX('Tabela PS'!$AO:$AU,B50+1,4),""))</f>
        <v/>
      </c>
      <c r="AV50" s="249"/>
      <c r="AW50" s="188" t="str">
        <f>IF('Tabela PS'!$AZ$1=FALSE,"",_xlfn.IFERROR(INDEX('Tabela PS'!$AO:$AU,B50+1,5),""))</f>
        <v/>
      </c>
      <c r="AX50" s="249"/>
      <c r="AY50" s="188" t="str">
        <f>IF('Tabela PS'!$AZ$1=FALSE,"",_xlfn.IFERROR(INDEX('Tabela PS'!$AO:$AU,B50+1,6),""))</f>
        <v/>
      </c>
      <c r="AZ50" s="249"/>
      <c r="BA50" s="188" t="str">
        <f>IF('Tabela PS'!$AZ$1=FALSE,"",_xlfn.IFERROR(INDEX('Tabela PS'!$AO:$AU,B50+1,7),""))</f>
        <v/>
      </c>
      <c r="BB50" s="119"/>
      <c r="BC50" s="188" t="str">
        <f>IF('Tabela PS'!$AZ$1=FALSE,"",_xlfn.IFERROR(INDEX('Tabela PS'!$AO:$AV,B50+1,8),""))</f>
        <v/>
      </c>
      <c r="BD50" s="119"/>
      <c r="BE50" s="188" t="str">
        <f>IF('Tabela PS'!$AZ$1=FALSE,"",_xlfn.IFERROR(INDEX('Tabela PS'!$AO:$AW,B50+1,9),""))</f>
        <v/>
      </c>
      <c r="BF50" s="119"/>
      <c r="BG50" s="188" t="str">
        <f>IF('Tabela PS'!$AZ$1=FALSE,"",_xlfn.IFERROR(INDEX('Tabela PS'!$AO:$AX,B50+1,10),""))</f>
        <v/>
      </c>
    </row>
    <row r="51" spans="2:59" s="182" customFormat="1" ht="22.5" customHeight="1">
      <c r="B51" s="184" t="str">
        <f t="shared" si="0"/>
        <v/>
      </c>
      <c r="C51" s="184"/>
      <c r="D51" s="184" t="str">
        <f>_xlfn.IFERROR('Tabela PS'!AN27,"")</f>
        <v/>
      </c>
      <c r="F51" s="184" t="str">
        <f>_xlfn.IFERROR('Tabela PS'!AM27,"")</f>
        <v/>
      </c>
      <c r="G51" s="183"/>
      <c r="H51" s="345" t="str">
        <f>_xlfn.IFERROR(INDEX('Tabela PS'!$AO:$AX,B51+1,Wybrany_rok-2009),"")</f>
        <v/>
      </c>
      <c r="I51" s="246"/>
      <c r="J51" s="403" t="str">
        <f>IF(Wybrany_rok=2010,"",_xlfn.IFERROR(INDEX('Tabela PS'!$AO:$AW,B51+1,Wybrany_rok-2010),""))</f>
        <v/>
      </c>
      <c r="K51" s="403"/>
      <c r="L51" s="403"/>
      <c r="M51" s="403"/>
      <c r="N51" s="403"/>
      <c r="O51" s="187"/>
      <c r="P51" s="402" t="str">
        <f t="shared" si="1"/>
        <v/>
      </c>
      <c r="Q51" s="402"/>
      <c r="R51" s="402"/>
      <c r="S51" s="402"/>
      <c r="T51" s="402"/>
      <c r="U51" s="247"/>
      <c r="V51" s="399"/>
      <c r="W51" s="399"/>
      <c r="X51" s="399"/>
      <c r="Y51" s="399"/>
      <c r="Z51" s="399"/>
      <c r="AA51" s="399"/>
      <c r="AB51" s="399"/>
      <c r="AC51" s="399"/>
      <c r="AD51" s="399"/>
      <c r="AE51" s="399"/>
      <c r="AF51" s="399"/>
      <c r="AH51" s="402" t="str">
        <f>_xlfn.IFERROR(INDEX('Tabela PS'!$AY:$AY,B51+1,1),"")</f>
        <v/>
      </c>
      <c r="AI51" s="402"/>
      <c r="AJ51" s="402"/>
      <c r="AK51" s="402"/>
      <c r="AL51" s="402"/>
      <c r="AO51" s="188" t="str">
        <f>IF('Tabela PS'!$AZ$1=FALSE,"",_xlfn.IFERROR(INDEX('Tabela PS'!$AO:$AU,B51+1,1),""))</f>
        <v/>
      </c>
      <c r="AP51" s="249"/>
      <c r="AQ51" s="188" t="str">
        <f>IF('Tabela PS'!$AZ$1=FALSE,"",_xlfn.IFERROR(INDEX('Tabela PS'!$AO:$AU,B51+1,2),""))</f>
        <v/>
      </c>
      <c r="AR51" s="249"/>
      <c r="AS51" s="188" t="str">
        <f>IF('Tabela PS'!$AZ$1=FALSE,"",_xlfn.IFERROR(INDEX('Tabela PS'!$AO:$AU,B51+1,3),""))</f>
        <v/>
      </c>
      <c r="AT51" s="249"/>
      <c r="AU51" s="188" t="str">
        <f>IF('Tabela PS'!$AZ$1=FALSE,"",_xlfn.IFERROR(INDEX('Tabela PS'!$AO:$AU,B51+1,4),""))</f>
        <v/>
      </c>
      <c r="AV51" s="249"/>
      <c r="AW51" s="188" t="str">
        <f>IF('Tabela PS'!$AZ$1=FALSE,"",_xlfn.IFERROR(INDEX('Tabela PS'!$AO:$AU,B51+1,5),""))</f>
        <v/>
      </c>
      <c r="AX51" s="249"/>
      <c r="AY51" s="188" t="str">
        <f>IF('Tabela PS'!$AZ$1=FALSE,"",_xlfn.IFERROR(INDEX('Tabela PS'!$AO:$AU,B51+1,6),""))</f>
        <v/>
      </c>
      <c r="AZ51" s="249"/>
      <c r="BA51" s="188" t="str">
        <f>IF('Tabela PS'!$AZ$1=FALSE,"",_xlfn.IFERROR(INDEX('Tabela PS'!$AO:$AU,B51+1,7),""))</f>
        <v/>
      </c>
      <c r="BB51" s="119"/>
      <c r="BC51" s="188" t="str">
        <f>IF('Tabela PS'!$AZ$1=FALSE,"",_xlfn.IFERROR(INDEX('Tabela PS'!$AO:$AV,B51+1,8),""))</f>
        <v/>
      </c>
      <c r="BD51" s="119"/>
      <c r="BE51" s="188" t="str">
        <f>IF('Tabela PS'!$AZ$1=FALSE,"",_xlfn.IFERROR(INDEX('Tabela PS'!$AO:$AW,B51+1,9),""))</f>
        <v/>
      </c>
      <c r="BF51" s="119"/>
      <c r="BG51" s="188" t="str">
        <f>IF('Tabela PS'!$AZ$1=FALSE,"",_xlfn.IFERROR(INDEX('Tabela PS'!$AO:$AX,B51+1,10),""))</f>
        <v/>
      </c>
    </row>
    <row r="52" spans="2:59" s="182" customFormat="1" ht="22.5" customHeight="1">
      <c r="B52" s="184" t="str">
        <f t="shared" si="0"/>
        <v/>
      </c>
      <c r="C52" s="184"/>
      <c r="D52" s="184" t="str">
        <f>_xlfn.IFERROR('Tabela PS'!AN28,"")</f>
        <v/>
      </c>
      <c r="F52" s="184" t="str">
        <f>_xlfn.IFERROR('Tabela PS'!AM28,"")</f>
        <v/>
      </c>
      <c r="G52" s="183"/>
      <c r="H52" s="345" t="str">
        <f>_xlfn.IFERROR(INDEX('Tabela PS'!$AO:$AX,B52+1,Wybrany_rok-2009),"")</f>
        <v/>
      </c>
      <c r="I52" s="246"/>
      <c r="J52" s="403" t="str">
        <f>IF(Wybrany_rok=2010,"",_xlfn.IFERROR(INDEX('Tabela PS'!$AO:$AW,B52+1,Wybrany_rok-2010),""))</f>
        <v/>
      </c>
      <c r="K52" s="403"/>
      <c r="L52" s="403"/>
      <c r="M52" s="403"/>
      <c r="N52" s="403"/>
      <c r="O52" s="187"/>
      <c r="P52" s="402" t="str">
        <f t="shared" si="1"/>
        <v/>
      </c>
      <c r="Q52" s="402"/>
      <c r="R52" s="402"/>
      <c r="S52" s="402"/>
      <c r="T52" s="402"/>
      <c r="U52" s="247"/>
      <c r="V52" s="399"/>
      <c r="W52" s="399"/>
      <c r="X52" s="399"/>
      <c r="Y52" s="399"/>
      <c r="Z52" s="399"/>
      <c r="AA52" s="399"/>
      <c r="AB52" s="399"/>
      <c r="AC52" s="399"/>
      <c r="AD52" s="399"/>
      <c r="AE52" s="399"/>
      <c r="AF52" s="399"/>
      <c r="AH52" s="402" t="str">
        <f>_xlfn.IFERROR(INDEX('Tabela PS'!$AY:$AY,B52+1,1),"")</f>
        <v/>
      </c>
      <c r="AI52" s="402"/>
      <c r="AJ52" s="402"/>
      <c r="AK52" s="402"/>
      <c r="AL52" s="402"/>
      <c r="AO52" s="188" t="str">
        <f>IF('Tabela PS'!$AZ$1=FALSE,"",_xlfn.IFERROR(INDEX('Tabela PS'!$AO:$AU,B52+1,1),""))</f>
        <v/>
      </c>
      <c r="AP52" s="249"/>
      <c r="AQ52" s="188" t="str">
        <f>IF('Tabela PS'!$AZ$1=FALSE,"",_xlfn.IFERROR(INDEX('Tabela PS'!$AO:$AU,B52+1,2),""))</f>
        <v/>
      </c>
      <c r="AR52" s="249"/>
      <c r="AS52" s="188" t="str">
        <f>IF('Tabela PS'!$AZ$1=FALSE,"",_xlfn.IFERROR(INDEX('Tabela PS'!$AO:$AU,B52+1,3),""))</f>
        <v/>
      </c>
      <c r="AT52" s="249"/>
      <c r="AU52" s="188" t="str">
        <f>IF('Tabela PS'!$AZ$1=FALSE,"",_xlfn.IFERROR(INDEX('Tabela PS'!$AO:$AU,B52+1,4),""))</f>
        <v/>
      </c>
      <c r="AV52" s="249"/>
      <c r="AW52" s="188" t="str">
        <f>IF('Tabela PS'!$AZ$1=FALSE,"",_xlfn.IFERROR(INDEX('Tabela PS'!$AO:$AU,B52+1,5),""))</f>
        <v/>
      </c>
      <c r="AX52" s="249"/>
      <c r="AY52" s="188" t="str">
        <f>IF('Tabela PS'!$AZ$1=FALSE,"",_xlfn.IFERROR(INDEX('Tabela PS'!$AO:$AU,B52+1,6),""))</f>
        <v/>
      </c>
      <c r="AZ52" s="249"/>
      <c r="BA52" s="188" t="str">
        <f>IF('Tabela PS'!$AZ$1=FALSE,"",_xlfn.IFERROR(INDEX('Tabela PS'!$AO:$AU,B52+1,7),""))</f>
        <v/>
      </c>
      <c r="BB52" s="119"/>
      <c r="BC52" s="188" t="str">
        <f>IF('Tabela PS'!$AZ$1=FALSE,"",_xlfn.IFERROR(INDEX('Tabela PS'!$AO:$AV,B52+1,8),""))</f>
        <v/>
      </c>
      <c r="BD52" s="119"/>
      <c r="BE52" s="188" t="str">
        <f>IF('Tabela PS'!$AZ$1=FALSE,"",_xlfn.IFERROR(INDEX('Tabela PS'!$AO:$AW,B52+1,9),""))</f>
        <v/>
      </c>
      <c r="BF52" s="119"/>
      <c r="BG52" s="188" t="str">
        <f>IF('Tabela PS'!$AZ$1=FALSE,"",_xlfn.IFERROR(INDEX('Tabela PS'!$AO:$AX,B52+1,10),""))</f>
        <v/>
      </c>
    </row>
    <row r="53" spans="2:59" s="182" customFormat="1" ht="22.5" customHeight="1">
      <c r="B53" s="184" t="str">
        <f t="shared" si="0"/>
        <v/>
      </c>
      <c r="C53" s="184"/>
      <c r="D53" s="184" t="str">
        <f>_xlfn.IFERROR('Tabela PS'!AN29,"")</f>
        <v/>
      </c>
      <c r="F53" s="184" t="str">
        <f>_xlfn.IFERROR('Tabela PS'!AM29,"")</f>
        <v/>
      </c>
      <c r="G53" s="183"/>
      <c r="H53" s="345" t="str">
        <f>_xlfn.IFERROR(INDEX('Tabela PS'!$AO:$AX,B53+1,Wybrany_rok-2009),"")</f>
        <v/>
      </c>
      <c r="I53" s="246"/>
      <c r="J53" s="403" t="str">
        <f>IF(Wybrany_rok=2010,"",_xlfn.IFERROR(INDEX('Tabela PS'!$AO:$AW,B53+1,Wybrany_rok-2010),""))</f>
        <v/>
      </c>
      <c r="K53" s="403"/>
      <c r="L53" s="403"/>
      <c r="M53" s="403"/>
      <c r="N53" s="403"/>
      <c r="O53" s="187"/>
      <c r="P53" s="402" t="str">
        <f t="shared" si="1"/>
        <v/>
      </c>
      <c r="Q53" s="402"/>
      <c r="R53" s="402"/>
      <c r="S53" s="402"/>
      <c r="T53" s="402"/>
      <c r="U53" s="247"/>
      <c r="V53" s="399"/>
      <c r="W53" s="399"/>
      <c r="X53" s="399"/>
      <c r="Y53" s="399"/>
      <c r="Z53" s="399"/>
      <c r="AA53" s="399"/>
      <c r="AB53" s="399"/>
      <c r="AC53" s="399"/>
      <c r="AD53" s="399"/>
      <c r="AE53" s="399"/>
      <c r="AF53" s="399"/>
      <c r="AH53" s="402" t="str">
        <f>_xlfn.IFERROR(INDEX('Tabela PS'!$AY:$AY,B53+1,1),"")</f>
        <v/>
      </c>
      <c r="AI53" s="402"/>
      <c r="AJ53" s="402"/>
      <c r="AK53" s="402"/>
      <c r="AL53" s="402"/>
      <c r="AO53" s="188" t="str">
        <f>IF('Tabela PS'!$AZ$1=FALSE,"",_xlfn.IFERROR(INDEX('Tabela PS'!$AO:$AU,B53+1,1),""))</f>
        <v/>
      </c>
      <c r="AP53" s="249"/>
      <c r="AQ53" s="188" t="str">
        <f>IF('Tabela PS'!$AZ$1=FALSE,"",_xlfn.IFERROR(INDEX('Tabela PS'!$AO:$AU,B53+1,2),""))</f>
        <v/>
      </c>
      <c r="AR53" s="249"/>
      <c r="AS53" s="188" t="str">
        <f>IF('Tabela PS'!$AZ$1=FALSE,"",_xlfn.IFERROR(INDEX('Tabela PS'!$AO:$AU,B53+1,3),""))</f>
        <v/>
      </c>
      <c r="AT53" s="249"/>
      <c r="AU53" s="188" t="str">
        <f>IF('Tabela PS'!$AZ$1=FALSE,"",_xlfn.IFERROR(INDEX('Tabela PS'!$AO:$AU,B53+1,4),""))</f>
        <v/>
      </c>
      <c r="AV53" s="249"/>
      <c r="AW53" s="188" t="str">
        <f>IF('Tabela PS'!$AZ$1=FALSE,"",_xlfn.IFERROR(INDEX('Tabela PS'!$AO:$AU,B53+1,5),""))</f>
        <v/>
      </c>
      <c r="AX53" s="249"/>
      <c r="AY53" s="188" t="str">
        <f>IF('Tabela PS'!$AZ$1=FALSE,"",_xlfn.IFERROR(INDEX('Tabela PS'!$AO:$AU,B53+1,6),""))</f>
        <v/>
      </c>
      <c r="AZ53" s="249"/>
      <c r="BA53" s="188" t="str">
        <f>IF('Tabela PS'!$AZ$1=FALSE,"",_xlfn.IFERROR(INDEX('Tabela PS'!$AO:$AU,B53+1,7),""))</f>
        <v/>
      </c>
      <c r="BB53" s="119"/>
      <c r="BC53" s="188" t="str">
        <f>IF('Tabela PS'!$AZ$1=FALSE,"",_xlfn.IFERROR(INDEX('Tabela PS'!$AO:$AV,B53+1,8),""))</f>
        <v/>
      </c>
      <c r="BD53" s="119"/>
      <c r="BE53" s="188" t="str">
        <f>IF('Tabela PS'!$AZ$1=FALSE,"",_xlfn.IFERROR(INDEX('Tabela PS'!$AO:$AW,B53+1,9),""))</f>
        <v/>
      </c>
      <c r="BF53" s="119"/>
      <c r="BG53" s="188" t="str">
        <f>IF('Tabela PS'!$AZ$1=FALSE,"",_xlfn.IFERROR(INDEX('Tabela PS'!$AO:$AX,B53+1,10),""))</f>
        <v/>
      </c>
    </row>
    <row r="54" spans="2:59" s="182" customFormat="1" ht="22.5" customHeight="1">
      <c r="B54" s="184" t="str">
        <f t="shared" si="0"/>
        <v/>
      </c>
      <c r="C54" s="184"/>
      <c r="D54" s="184" t="str">
        <f>_xlfn.IFERROR('Tabela PS'!AN30,"")</f>
        <v/>
      </c>
      <c r="F54" s="184" t="str">
        <f>_xlfn.IFERROR('Tabela PS'!AM30,"")</f>
        <v/>
      </c>
      <c r="G54" s="183"/>
      <c r="H54" s="345" t="str">
        <f>_xlfn.IFERROR(INDEX('Tabela PS'!$AO:$AX,B54+1,Wybrany_rok-2009),"")</f>
        <v/>
      </c>
      <c r="I54" s="246"/>
      <c r="J54" s="403" t="str">
        <f>IF(Wybrany_rok=2010,"",_xlfn.IFERROR(INDEX('Tabela PS'!$AO:$AW,B54+1,Wybrany_rok-2010),""))</f>
        <v/>
      </c>
      <c r="K54" s="403"/>
      <c r="L54" s="403"/>
      <c r="M54" s="403"/>
      <c r="N54" s="403"/>
      <c r="O54" s="187"/>
      <c r="P54" s="402" t="str">
        <f t="shared" si="1"/>
        <v/>
      </c>
      <c r="Q54" s="402"/>
      <c r="R54" s="402"/>
      <c r="S54" s="402"/>
      <c r="T54" s="402"/>
      <c r="U54" s="247"/>
      <c r="V54" s="399"/>
      <c r="W54" s="399"/>
      <c r="X54" s="399"/>
      <c r="Y54" s="399"/>
      <c r="Z54" s="399"/>
      <c r="AA54" s="399"/>
      <c r="AB54" s="399"/>
      <c r="AC54" s="399"/>
      <c r="AD54" s="399"/>
      <c r="AE54" s="399"/>
      <c r="AF54" s="399"/>
      <c r="AH54" s="402" t="str">
        <f>_xlfn.IFERROR(INDEX('Tabela PS'!$AY:$AY,B54+1,1),"")</f>
        <v/>
      </c>
      <c r="AI54" s="402"/>
      <c r="AJ54" s="402"/>
      <c r="AK54" s="402"/>
      <c r="AL54" s="402"/>
      <c r="AO54" s="188" t="str">
        <f>IF('Tabela PS'!$AZ$1=FALSE,"",_xlfn.IFERROR(INDEX('Tabela PS'!$AO:$AU,B54+1,1),""))</f>
        <v/>
      </c>
      <c r="AP54" s="249"/>
      <c r="AQ54" s="188" t="str">
        <f>IF('Tabela PS'!$AZ$1=FALSE,"",_xlfn.IFERROR(INDEX('Tabela PS'!$AO:$AU,B54+1,2),""))</f>
        <v/>
      </c>
      <c r="AR54" s="249"/>
      <c r="AS54" s="188" t="str">
        <f>IF('Tabela PS'!$AZ$1=FALSE,"",_xlfn.IFERROR(INDEX('Tabela PS'!$AO:$AU,B54+1,3),""))</f>
        <v/>
      </c>
      <c r="AT54" s="249"/>
      <c r="AU54" s="188" t="str">
        <f>IF('Tabela PS'!$AZ$1=FALSE,"",_xlfn.IFERROR(INDEX('Tabela PS'!$AO:$AU,B54+1,4),""))</f>
        <v/>
      </c>
      <c r="AV54" s="249"/>
      <c r="AW54" s="188" t="str">
        <f>IF('Tabela PS'!$AZ$1=FALSE,"",_xlfn.IFERROR(INDEX('Tabela PS'!$AO:$AU,B54+1,5),""))</f>
        <v/>
      </c>
      <c r="AX54" s="249"/>
      <c r="AY54" s="188" t="str">
        <f>IF('Tabela PS'!$AZ$1=FALSE,"",_xlfn.IFERROR(INDEX('Tabela PS'!$AO:$AU,B54+1,6),""))</f>
        <v/>
      </c>
      <c r="AZ54" s="249"/>
      <c r="BA54" s="188" t="str">
        <f>IF('Tabela PS'!$AZ$1=FALSE,"",_xlfn.IFERROR(INDEX('Tabela PS'!$AO:$AU,B54+1,7),""))</f>
        <v/>
      </c>
      <c r="BB54" s="119"/>
      <c r="BC54" s="188" t="str">
        <f>IF('Tabela PS'!$AZ$1=FALSE,"",_xlfn.IFERROR(INDEX('Tabela PS'!$AO:$AV,B54+1,8),""))</f>
        <v/>
      </c>
      <c r="BD54" s="119"/>
      <c r="BE54" s="188" t="str">
        <f>IF('Tabela PS'!$AZ$1=FALSE,"",_xlfn.IFERROR(INDEX('Tabela PS'!$AO:$AW,B54+1,9),""))</f>
        <v/>
      </c>
      <c r="BF54" s="119"/>
      <c r="BG54" s="188" t="str">
        <f>IF('Tabela PS'!$AZ$1=FALSE,"",_xlfn.IFERROR(INDEX('Tabela PS'!$AO:$AX,B54+1,10),""))</f>
        <v/>
      </c>
    </row>
    <row r="55" spans="2:59" s="182" customFormat="1" ht="22.5" customHeight="1">
      <c r="B55" s="184" t="str">
        <f t="shared" si="0"/>
        <v/>
      </c>
      <c r="C55" s="184"/>
      <c r="D55" s="184" t="str">
        <f>_xlfn.IFERROR('Tabela PS'!AN31,"")</f>
        <v/>
      </c>
      <c r="F55" s="184" t="str">
        <f>_xlfn.IFERROR('Tabela PS'!AM31,"")</f>
        <v/>
      </c>
      <c r="G55" s="183"/>
      <c r="H55" s="345" t="str">
        <f>_xlfn.IFERROR(INDEX('Tabela PS'!$AO:$AX,B55+1,Wybrany_rok-2009),"")</f>
        <v/>
      </c>
      <c r="I55" s="246"/>
      <c r="J55" s="403" t="str">
        <f>IF(Wybrany_rok=2010,"",_xlfn.IFERROR(INDEX('Tabela PS'!$AO:$AW,B55+1,Wybrany_rok-2010),""))</f>
        <v/>
      </c>
      <c r="K55" s="403"/>
      <c r="L55" s="403"/>
      <c r="M55" s="403"/>
      <c r="N55" s="403"/>
      <c r="O55" s="187"/>
      <c r="P55" s="402" t="str">
        <f t="shared" si="1"/>
        <v/>
      </c>
      <c r="Q55" s="402"/>
      <c r="R55" s="402"/>
      <c r="S55" s="402"/>
      <c r="T55" s="402"/>
      <c r="U55" s="247"/>
      <c r="V55" s="399"/>
      <c r="W55" s="399"/>
      <c r="X55" s="399"/>
      <c r="Y55" s="399"/>
      <c r="Z55" s="399"/>
      <c r="AA55" s="399"/>
      <c r="AB55" s="399"/>
      <c r="AC55" s="399"/>
      <c r="AD55" s="399"/>
      <c r="AE55" s="399"/>
      <c r="AF55" s="399"/>
      <c r="AH55" s="402" t="str">
        <f>_xlfn.IFERROR(INDEX('Tabela PS'!$AY:$AY,B55+1,1),"")</f>
        <v/>
      </c>
      <c r="AI55" s="402"/>
      <c r="AJ55" s="402"/>
      <c r="AK55" s="402"/>
      <c r="AL55" s="402"/>
      <c r="AO55" s="188" t="str">
        <f>IF('Tabela PS'!$AZ$1=FALSE,"",_xlfn.IFERROR(INDEX('Tabela PS'!$AO:$AU,B55+1,1),""))</f>
        <v/>
      </c>
      <c r="AP55" s="249"/>
      <c r="AQ55" s="188" t="str">
        <f>IF('Tabela PS'!$AZ$1=FALSE,"",_xlfn.IFERROR(INDEX('Tabela PS'!$AO:$AU,B55+1,2),""))</f>
        <v/>
      </c>
      <c r="AR55" s="249"/>
      <c r="AS55" s="188" t="str">
        <f>IF('Tabela PS'!$AZ$1=FALSE,"",_xlfn.IFERROR(INDEX('Tabela PS'!$AO:$AU,B55+1,3),""))</f>
        <v/>
      </c>
      <c r="AT55" s="249"/>
      <c r="AU55" s="188" t="str">
        <f>IF('Tabela PS'!$AZ$1=FALSE,"",_xlfn.IFERROR(INDEX('Tabela PS'!$AO:$AU,B55+1,4),""))</f>
        <v/>
      </c>
      <c r="AV55" s="249"/>
      <c r="AW55" s="188" t="str">
        <f>IF('Tabela PS'!$AZ$1=FALSE,"",_xlfn.IFERROR(INDEX('Tabela PS'!$AO:$AU,B55+1,5),""))</f>
        <v/>
      </c>
      <c r="AX55" s="249"/>
      <c r="AY55" s="188" t="str">
        <f>IF('Tabela PS'!$AZ$1=FALSE,"",_xlfn.IFERROR(INDEX('Tabela PS'!$AO:$AU,B55+1,6),""))</f>
        <v/>
      </c>
      <c r="AZ55" s="249"/>
      <c r="BA55" s="188" t="str">
        <f>IF('Tabela PS'!$AZ$1=FALSE,"",_xlfn.IFERROR(INDEX('Tabela PS'!$AO:$AU,B55+1,7),""))</f>
        <v/>
      </c>
      <c r="BB55" s="119"/>
      <c r="BC55" s="188" t="str">
        <f>IF('Tabela PS'!$AZ$1=FALSE,"",_xlfn.IFERROR(INDEX('Tabela PS'!$AO:$AV,B55+1,8),""))</f>
        <v/>
      </c>
      <c r="BD55" s="119"/>
      <c r="BE55" s="188" t="str">
        <f>IF('Tabela PS'!$AZ$1=FALSE,"",_xlfn.IFERROR(INDEX('Tabela PS'!$AO:$AW,B55+1,9),""))</f>
        <v/>
      </c>
      <c r="BF55" s="119"/>
      <c r="BG55" s="188" t="str">
        <f>IF('Tabela PS'!$AZ$1=FALSE,"",_xlfn.IFERROR(INDEX('Tabela PS'!$AO:$AX,B55+1,10),""))</f>
        <v/>
      </c>
    </row>
    <row r="56" spans="2:59" s="182" customFormat="1" ht="22.5" customHeight="1">
      <c r="B56" s="184" t="str">
        <f t="shared" si="0"/>
        <v/>
      </c>
      <c r="C56" s="184"/>
      <c r="D56" s="184" t="str">
        <f>_xlfn.IFERROR('Tabela PS'!AN32,"")</f>
        <v/>
      </c>
      <c r="F56" s="184" t="str">
        <f>_xlfn.IFERROR('Tabela PS'!AM32,"")</f>
        <v/>
      </c>
      <c r="G56" s="183"/>
      <c r="H56" s="345" t="str">
        <f>_xlfn.IFERROR(INDEX('Tabela PS'!$AO:$AX,B56+1,Wybrany_rok-2009),"")</f>
        <v/>
      </c>
      <c r="I56" s="246"/>
      <c r="J56" s="403" t="str">
        <f>IF(Wybrany_rok=2010,"",_xlfn.IFERROR(INDEX('Tabela PS'!$AO:$AW,B56+1,Wybrany_rok-2010),""))</f>
        <v/>
      </c>
      <c r="K56" s="403"/>
      <c r="L56" s="403"/>
      <c r="M56" s="403"/>
      <c r="N56" s="403"/>
      <c r="O56" s="187"/>
      <c r="P56" s="402" t="str">
        <f t="shared" si="1"/>
        <v/>
      </c>
      <c r="Q56" s="402"/>
      <c r="R56" s="402"/>
      <c r="S56" s="402"/>
      <c r="T56" s="402"/>
      <c r="U56" s="247"/>
      <c r="V56" s="399"/>
      <c r="W56" s="399"/>
      <c r="X56" s="399"/>
      <c r="Y56" s="399"/>
      <c r="Z56" s="399"/>
      <c r="AA56" s="399"/>
      <c r="AB56" s="399"/>
      <c r="AC56" s="399"/>
      <c r="AD56" s="399"/>
      <c r="AE56" s="399"/>
      <c r="AF56" s="399"/>
      <c r="AH56" s="402" t="str">
        <f>_xlfn.IFERROR(INDEX('Tabela PS'!$AY:$AY,B56+1,1),"")</f>
        <v/>
      </c>
      <c r="AI56" s="402"/>
      <c r="AJ56" s="402"/>
      <c r="AK56" s="402"/>
      <c r="AL56" s="402"/>
      <c r="AO56" s="188" t="str">
        <f>IF('Tabela PS'!$AZ$1=FALSE,"",_xlfn.IFERROR(INDEX('Tabela PS'!$AO:$AU,B56+1,1),""))</f>
        <v/>
      </c>
      <c r="AP56" s="249"/>
      <c r="AQ56" s="188" t="str">
        <f>IF('Tabela PS'!$AZ$1=FALSE,"",_xlfn.IFERROR(INDEX('Tabela PS'!$AO:$AU,B56+1,2),""))</f>
        <v/>
      </c>
      <c r="AR56" s="249"/>
      <c r="AS56" s="188" t="str">
        <f>IF('Tabela PS'!$AZ$1=FALSE,"",_xlfn.IFERROR(INDEX('Tabela PS'!$AO:$AU,B56+1,3),""))</f>
        <v/>
      </c>
      <c r="AT56" s="249"/>
      <c r="AU56" s="188" t="str">
        <f>IF('Tabela PS'!$AZ$1=FALSE,"",_xlfn.IFERROR(INDEX('Tabela PS'!$AO:$AU,B56+1,4),""))</f>
        <v/>
      </c>
      <c r="AV56" s="249"/>
      <c r="AW56" s="188" t="str">
        <f>IF('Tabela PS'!$AZ$1=FALSE,"",_xlfn.IFERROR(INDEX('Tabela PS'!$AO:$AU,B56+1,5),""))</f>
        <v/>
      </c>
      <c r="AX56" s="249"/>
      <c r="AY56" s="188" t="str">
        <f>IF('Tabela PS'!$AZ$1=FALSE,"",_xlfn.IFERROR(INDEX('Tabela PS'!$AO:$AU,B56+1,6),""))</f>
        <v/>
      </c>
      <c r="AZ56" s="249"/>
      <c r="BA56" s="188" t="str">
        <f>IF('Tabela PS'!$AZ$1=FALSE,"",_xlfn.IFERROR(INDEX('Tabela PS'!$AO:$AU,B56+1,7),""))</f>
        <v/>
      </c>
      <c r="BB56" s="119"/>
      <c r="BC56" s="188" t="str">
        <f>IF('Tabela PS'!$AZ$1=FALSE,"",_xlfn.IFERROR(INDEX('Tabela PS'!$AO:$AV,B56+1,8),""))</f>
        <v/>
      </c>
      <c r="BD56" s="119"/>
      <c r="BE56" s="188" t="str">
        <f>IF('Tabela PS'!$AZ$1=FALSE,"",_xlfn.IFERROR(INDEX('Tabela PS'!$AO:$AW,B56+1,9),""))</f>
        <v/>
      </c>
      <c r="BF56" s="119"/>
      <c r="BG56" s="188" t="str">
        <f>IF('Tabela PS'!$AZ$1=FALSE,"",_xlfn.IFERROR(INDEX('Tabela PS'!$AO:$AX,B56+1,10),""))</f>
        <v/>
      </c>
    </row>
    <row r="57" spans="2:59" s="182" customFormat="1" ht="22.5" customHeight="1">
      <c r="B57" s="184" t="str">
        <f t="shared" si="0"/>
        <v/>
      </c>
      <c r="C57" s="184"/>
      <c r="D57" s="184" t="str">
        <f>_xlfn.IFERROR('Tabela PS'!AN33,"")</f>
        <v/>
      </c>
      <c r="F57" s="184" t="str">
        <f>_xlfn.IFERROR('Tabela PS'!AM33,"")</f>
        <v/>
      </c>
      <c r="G57" s="183"/>
      <c r="H57" s="345" t="str">
        <f>_xlfn.IFERROR(INDEX('Tabela PS'!$AO:$AX,B57+1,Wybrany_rok-2009),"")</f>
        <v/>
      </c>
      <c r="I57" s="246"/>
      <c r="J57" s="403" t="str">
        <f>IF(Wybrany_rok=2010,"",_xlfn.IFERROR(INDEX('Tabela PS'!$AO:$AW,B57+1,Wybrany_rok-2010),""))</f>
        <v/>
      </c>
      <c r="K57" s="403"/>
      <c r="L57" s="403"/>
      <c r="M57" s="403"/>
      <c r="N57" s="403"/>
      <c r="O57" s="187"/>
      <c r="P57" s="402" t="str">
        <f t="shared" si="1"/>
        <v/>
      </c>
      <c r="Q57" s="402"/>
      <c r="R57" s="402"/>
      <c r="S57" s="402"/>
      <c r="T57" s="402"/>
      <c r="U57" s="247"/>
      <c r="V57" s="399"/>
      <c r="W57" s="399"/>
      <c r="X57" s="399"/>
      <c r="Y57" s="399"/>
      <c r="Z57" s="399"/>
      <c r="AA57" s="399"/>
      <c r="AB57" s="399"/>
      <c r="AC57" s="399"/>
      <c r="AD57" s="399"/>
      <c r="AE57" s="399"/>
      <c r="AF57" s="399"/>
      <c r="AH57" s="402" t="str">
        <f>_xlfn.IFERROR(INDEX('Tabela PS'!$AY:$AY,B57+1,1),"")</f>
        <v/>
      </c>
      <c r="AI57" s="402"/>
      <c r="AJ57" s="402"/>
      <c r="AK57" s="402"/>
      <c r="AL57" s="402"/>
      <c r="AO57" s="188" t="str">
        <f>IF('Tabela PS'!$AZ$1=FALSE,"",_xlfn.IFERROR(INDEX('Tabela PS'!$AO:$AU,B57+1,1),""))</f>
        <v/>
      </c>
      <c r="AP57" s="249"/>
      <c r="AQ57" s="188" t="str">
        <f>IF('Tabela PS'!$AZ$1=FALSE,"",_xlfn.IFERROR(INDEX('Tabela PS'!$AO:$AU,B57+1,2),""))</f>
        <v/>
      </c>
      <c r="AR57" s="249"/>
      <c r="AS57" s="188" t="str">
        <f>IF('Tabela PS'!$AZ$1=FALSE,"",_xlfn.IFERROR(INDEX('Tabela PS'!$AO:$AU,B57+1,3),""))</f>
        <v/>
      </c>
      <c r="AT57" s="249"/>
      <c r="AU57" s="188" t="str">
        <f>IF('Tabela PS'!$AZ$1=FALSE,"",_xlfn.IFERROR(INDEX('Tabela PS'!$AO:$AU,B57+1,4),""))</f>
        <v/>
      </c>
      <c r="AV57" s="249"/>
      <c r="AW57" s="188" t="str">
        <f>IF('Tabela PS'!$AZ$1=FALSE,"",_xlfn.IFERROR(INDEX('Tabela PS'!$AO:$AU,B57+1,5),""))</f>
        <v/>
      </c>
      <c r="AX57" s="249"/>
      <c r="AY57" s="188" t="str">
        <f>IF('Tabela PS'!$AZ$1=FALSE,"",_xlfn.IFERROR(INDEX('Tabela PS'!$AO:$AU,B57+1,6),""))</f>
        <v/>
      </c>
      <c r="AZ57" s="249"/>
      <c r="BA57" s="188" t="str">
        <f>IF('Tabela PS'!$AZ$1=FALSE,"",_xlfn.IFERROR(INDEX('Tabela PS'!$AO:$AU,B57+1,7),""))</f>
        <v/>
      </c>
      <c r="BB57" s="119"/>
      <c r="BC57" s="188" t="str">
        <f>IF('Tabela PS'!$AZ$1=FALSE,"",_xlfn.IFERROR(INDEX('Tabela PS'!$AO:$AV,B57+1,8),""))</f>
        <v/>
      </c>
      <c r="BD57" s="119"/>
      <c r="BE57" s="188" t="str">
        <f>IF('Tabela PS'!$AZ$1=FALSE,"",_xlfn.IFERROR(INDEX('Tabela PS'!$AO:$AW,B57+1,9),""))</f>
        <v/>
      </c>
      <c r="BF57" s="119"/>
      <c r="BG57" s="188" t="str">
        <f>IF('Tabela PS'!$AZ$1=FALSE,"",_xlfn.IFERROR(INDEX('Tabela PS'!$AO:$AX,B57+1,10),""))</f>
        <v/>
      </c>
    </row>
    <row r="58" spans="2:59" s="182" customFormat="1" ht="22.5" customHeight="1">
      <c r="B58" s="184" t="str">
        <f t="shared" si="0"/>
        <v/>
      </c>
      <c r="C58" s="184"/>
      <c r="D58" s="184" t="str">
        <f>_xlfn.IFERROR('Tabela PS'!AN34,"")</f>
        <v/>
      </c>
      <c r="F58" s="184" t="str">
        <f>_xlfn.IFERROR('Tabela PS'!AM34,"")</f>
        <v/>
      </c>
      <c r="G58" s="183"/>
      <c r="H58" s="345" t="str">
        <f>_xlfn.IFERROR(INDEX('Tabela PS'!$AO:$AX,B58+1,Wybrany_rok-2009),"")</f>
        <v/>
      </c>
      <c r="I58" s="246"/>
      <c r="J58" s="403" t="str">
        <f>IF(Wybrany_rok=2010,"",_xlfn.IFERROR(INDEX('Tabela PS'!$AO:$AW,B58+1,Wybrany_rok-2010),""))</f>
        <v/>
      </c>
      <c r="K58" s="403"/>
      <c r="L58" s="403"/>
      <c r="M58" s="403"/>
      <c r="N58" s="403"/>
      <c r="O58" s="187"/>
      <c r="P58" s="402" t="str">
        <f t="shared" si="1"/>
        <v/>
      </c>
      <c r="Q58" s="402"/>
      <c r="R58" s="402"/>
      <c r="S58" s="402"/>
      <c r="T58" s="402"/>
      <c r="U58" s="247"/>
      <c r="V58" s="399"/>
      <c r="W58" s="399"/>
      <c r="X58" s="399"/>
      <c r="Y58" s="399"/>
      <c r="Z58" s="399"/>
      <c r="AA58" s="399"/>
      <c r="AB58" s="399"/>
      <c r="AC58" s="399"/>
      <c r="AD58" s="399"/>
      <c r="AE58" s="399"/>
      <c r="AF58" s="399"/>
      <c r="AH58" s="402" t="str">
        <f>_xlfn.IFERROR(INDEX('Tabela PS'!$AY:$AY,B58+1,1),"")</f>
        <v/>
      </c>
      <c r="AI58" s="402"/>
      <c r="AJ58" s="402"/>
      <c r="AK58" s="402"/>
      <c r="AL58" s="402"/>
      <c r="AO58" s="188" t="str">
        <f>IF('Tabela PS'!$AZ$1=FALSE,"",_xlfn.IFERROR(INDEX('Tabela PS'!$AO:$AU,B58+1,1),""))</f>
        <v/>
      </c>
      <c r="AP58" s="249"/>
      <c r="AQ58" s="188" t="str">
        <f>IF('Tabela PS'!$AZ$1=FALSE,"",_xlfn.IFERROR(INDEX('Tabela PS'!$AO:$AU,B58+1,2),""))</f>
        <v/>
      </c>
      <c r="AR58" s="249"/>
      <c r="AS58" s="188" t="str">
        <f>IF('Tabela PS'!$AZ$1=FALSE,"",_xlfn.IFERROR(INDEX('Tabela PS'!$AO:$AU,B58+1,3),""))</f>
        <v/>
      </c>
      <c r="AT58" s="249"/>
      <c r="AU58" s="188" t="str">
        <f>IF('Tabela PS'!$AZ$1=FALSE,"",_xlfn.IFERROR(INDEX('Tabela PS'!$AO:$AU,B58+1,4),""))</f>
        <v/>
      </c>
      <c r="AV58" s="249"/>
      <c r="AW58" s="188" t="str">
        <f>IF('Tabela PS'!$AZ$1=FALSE,"",_xlfn.IFERROR(INDEX('Tabela PS'!$AO:$AU,B58+1,5),""))</f>
        <v/>
      </c>
      <c r="AX58" s="249"/>
      <c r="AY58" s="188" t="str">
        <f>IF('Tabela PS'!$AZ$1=FALSE,"",_xlfn.IFERROR(INDEX('Tabela PS'!$AO:$AU,B58+1,6),""))</f>
        <v/>
      </c>
      <c r="AZ58" s="249"/>
      <c r="BA58" s="188" t="str">
        <f>IF('Tabela PS'!$AZ$1=FALSE,"",_xlfn.IFERROR(INDEX('Tabela PS'!$AO:$AU,B58+1,7),""))</f>
        <v/>
      </c>
      <c r="BB58" s="119"/>
      <c r="BC58" s="188" t="str">
        <f>IF('Tabela PS'!$AZ$1=FALSE,"",_xlfn.IFERROR(INDEX('Tabela PS'!$AO:$AV,B58+1,8),""))</f>
        <v/>
      </c>
      <c r="BD58" s="119"/>
      <c r="BE58" s="188" t="str">
        <f>IF('Tabela PS'!$AZ$1=FALSE,"",_xlfn.IFERROR(INDEX('Tabela PS'!$AO:$AW,B58+1,9),""))</f>
        <v/>
      </c>
      <c r="BF58" s="119"/>
      <c r="BG58" s="188" t="str">
        <f>IF('Tabela PS'!$AZ$1=FALSE,"",_xlfn.IFERROR(INDEX('Tabela PS'!$AO:$AX,B58+1,10),""))</f>
        <v/>
      </c>
    </row>
    <row r="59" spans="2:59" s="182" customFormat="1" ht="22.5" customHeight="1">
      <c r="B59" s="184" t="str">
        <f t="shared" si="0"/>
        <v/>
      </c>
      <c r="C59" s="184"/>
      <c r="D59" s="184" t="str">
        <f>_xlfn.IFERROR('Tabela PS'!AN35,"")</f>
        <v/>
      </c>
      <c r="F59" s="184" t="str">
        <f>_xlfn.IFERROR('Tabela PS'!AM35,"")</f>
        <v/>
      </c>
      <c r="G59" s="183"/>
      <c r="H59" s="345" t="str">
        <f>_xlfn.IFERROR(INDEX('Tabela PS'!$AO:$AX,B59+1,Wybrany_rok-2009),"")</f>
        <v/>
      </c>
      <c r="I59" s="246"/>
      <c r="J59" s="403" t="str">
        <f>IF(Wybrany_rok=2010,"",_xlfn.IFERROR(INDEX('Tabela PS'!$AO:$AW,B59+1,Wybrany_rok-2010),""))</f>
        <v/>
      </c>
      <c r="K59" s="403"/>
      <c r="L59" s="403"/>
      <c r="M59" s="403"/>
      <c r="N59" s="403"/>
      <c r="O59" s="187"/>
      <c r="P59" s="402" t="str">
        <f t="shared" si="1"/>
        <v/>
      </c>
      <c r="Q59" s="402"/>
      <c r="R59" s="402"/>
      <c r="S59" s="402"/>
      <c r="T59" s="402"/>
      <c r="U59" s="247"/>
      <c r="V59" s="399"/>
      <c r="W59" s="399"/>
      <c r="X59" s="399"/>
      <c r="Y59" s="399"/>
      <c r="Z59" s="399"/>
      <c r="AA59" s="399"/>
      <c r="AB59" s="399"/>
      <c r="AC59" s="399"/>
      <c r="AD59" s="399"/>
      <c r="AE59" s="399"/>
      <c r="AF59" s="399"/>
      <c r="AH59" s="402" t="str">
        <f>_xlfn.IFERROR(INDEX('Tabela PS'!$AY:$AY,B59+1,1),"")</f>
        <v/>
      </c>
      <c r="AI59" s="402"/>
      <c r="AJ59" s="402"/>
      <c r="AK59" s="402"/>
      <c r="AL59" s="402"/>
      <c r="AO59" s="188" t="str">
        <f>IF('Tabela PS'!$AZ$1=FALSE,"",_xlfn.IFERROR(INDEX('Tabela PS'!$AO:$AU,B59+1,1),""))</f>
        <v/>
      </c>
      <c r="AP59" s="249"/>
      <c r="AQ59" s="188" t="str">
        <f>IF('Tabela PS'!$AZ$1=FALSE,"",_xlfn.IFERROR(INDEX('Tabela PS'!$AO:$AU,B59+1,2),""))</f>
        <v/>
      </c>
      <c r="AR59" s="249"/>
      <c r="AS59" s="188" t="str">
        <f>IF('Tabela PS'!$AZ$1=FALSE,"",_xlfn.IFERROR(INDEX('Tabela PS'!$AO:$AU,B59+1,3),""))</f>
        <v/>
      </c>
      <c r="AT59" s="249"/>
      <c r="AU59" s="188" t="str">
        <f>IF('Tabela PS'!$AZ$1=FALSE,"",_xlfn.IFERROR(INDEX('Tabela PS'!$AO:$AU,B59+1,4),""))</f>
        <v/>
      </c>
      <c r="AV59" s="249"/>
      <c r="AW59" s="188" t="str">
        <f>IF('Tabela PS'!$AZ$1=FALSE,"",_xlfn.IFERROR(INDEX('Tabela PS'!$AO:$AU,B59+1,5),""))</f>
        <v/>
      </c>
      <c r="AX59" s="249"/>
      <c r="AY59" s="188" t="str">
        <f>IF('Tabela PS'!$AZ$1=FALSE,"",_xlfn.IFERROR(INDEX('Tabela PS'!$AO:$AU,B59+1,6),""))</f>
        <v/>
      </c>
      <c r="AZ59" s="249"/>
      <c r="BA59" s="188" t="str">
        <f>IF('Tabela PS'!$AZ$1=FALSE,"",_xlfn.IFERROR(INDEX('Tabela PS'!$AO:$AU,B59+1,7),""))</f>
        <v/>
      </c>
      <c r="BB59" s="119"/>
      <c r="BC59" s="188" t="str">
        <f>IF('Tabela PS'!$AZ$1=FALSE,"",_xlfn.IFERROR(INDEX('Tabela PS'!$AO:$AV,B59+1,8),""))</f>
        <v/>
      </c>
      <c r="BD59" s="119"/>
      <c r="BE59" s="188" t="str">
        <f>IF('Tabela PS'!$AZ$1=FALSE,"",_xlfn.IFERROR(INDEX('Tabela PS'!$AO:$AW,B59+1,9),""))</f>
        <v/>
      </c>
      <c r="BF59" s="119"/>
      <c r="BG59" s="188" t="str">
        <f>IF('Tabela PS'!$AZ$1=FALSE,"",_xlfn.IFERROR(INDEX('Tabela PS'!$AO:$AX,B59+1,10),""))</f>
        <v/>
      </c>
    </row>
    <row r="60" spans="2:59" s="182" customFormat="1" ht="22.5" customHeight="1">
      <c r="B60" s="184" t="str">
        <f t="shared" si="0"/>
        <v/>
      </c>
      <c r="C60" s="184"/>
      <c r="D60" s="184" t="str">
        <f>_xlfn.IFERROR('Tabela PS'!AN36,"")</f>
        <v/>
      </c>
      <c r="F60" s="184" t="str">
        <f>_xlfn.IFERROR('Tabela PS'!AM36,"")</f>
        <v/>
      </c>
      <c r="G60" s="183"/>
      <c r="H60" s="345" t="str">
        <f>_xlfn.IFERROR(INDEX('Tabela PS'!$AO:$AX,B60+1,Wybrany_rok-2009),"")</f>
        <v/>
      </c>
      <c r="I60" s="246"/>
      <c r="J60" s="403" t="str">
        <f>IF(Wybrany_rok=2010,"",_xlfn.IFERROR(INDEX('Tabela PS'!$AO:$AW,B60+1,Wybrany_rok-2010),""))</f>
        <v/>
      </c>
      <c r="K60" s="403"/>
      <c r="L60" s="403"/>
      <c r="M60" s="403"/>
      <c r="N60" s="403"/>
      <c r="O60" s="187"/>
      <c r="P60" s="402" t="str">
        <f t="shared" si="1"/>
        <v/>
      </c>
      <c r="Q60" s="402"/>
      <c r="R60" s="402"/>
      <c r="S60" s="402"/>
      <c r="T60" s="402"/>
      <c r="U60" s="247"/>
      <c r="V60" s="399"/>
      <c r="W60" s="399"/>
      <c r="X60" s="399"/>
      <c r="Y60" s="399"/>
      <c r="Z60" s="399"/>
      <c r="AA60" s="399"/>
      <c r="AB60" s="399"/>
      <c r="AC60" s="399"/>
      <c r="AD60" s="399"/>
      <c r="AE60" s="399"/>
      <c r="AF60" s="399"/>
      <c r="AH60" s="402" t="str">
        <f>_xlfn.IFERROR(INDEX('Tabela PS'!$AY:$AY,B60+1,1),"")</f>
        <v/>
      </c>
      <c r="AI60" s="402"/>
      <c r="AJ60" s="402"/>
      <c r="AK60" s="402"/>
      <c r="AL60" s="402"/>
      <c r="AO60" s="188" t="str">
        <f>IF('Tabela PS'!$AZ$1=FALSE,"",_xlfn.IFERROR(INDEX('Tabela PS'!$AO:$AU,B60+1,1),""))</f>
        <v/>
      </c>
      <c r="AP60" s="249"/>
      <c r="AQ60" s="188" t="str">
        <f>IF('Tabela PS'!$AZ$1=FALSE,"",_xlfn.IFERROR(INDEX('Tabela PS'!$AO:$AU,B60+1,2),""))</f>
        <v/>
      </c>
      <c r="AR60" s="249"/>
      <c r="AS60" s="188" t="str">
        <f>IF('Tabela PS'!$AZ$1=FALSE,"",_xlfn.IFERROR(INDEX('Tabela PS'!$AO:$AU,B60+1,3),""))</f>
        <v/>
      </c>
      <c r="AT60" s="249"/>
      <c r="AU60" s="188" t="str">
        <f>IF('Tabela PS'!$AZ$1=FALSE,"",_xlfn.IFERROR(INDEX('Tabela PS'!$AO:$AU,B60+1,4),""))</f>
        <v/>
      </c>
      <c r="AV60" s="249"/>
      <c r="AW60" s="188" t="str">
        <f>IF('Tabela PS'!$AZ$1=FALSE,"",_xlfn.IFERROR(INDEX('Tabela PS'!$AO:$AU,B60+1,5),""))</f>
        <v/>
      </c>
      <c r="AX60" s="249"/>
      <c r="AY60" s="188" t="str">
        <f>IF('Tabela PS'!$AZ$1=FALSE,"",_xlfn.IFERROR(INDEX('Tabela PS'!$AO:$AU,B60+1,6),""))</f>
        <v/>
      </c>
      <c r="AZ60" s="249"/>
      <c r="BA60" s="188" t="str">
        <f>IF('Tabela PS'!$AZ$1=FALSE,"",_xlfn.IFERROR(INDEX('Tabela PS'!$AO:$AU,B60+1,7),""))</f>
        <v/>
      </c>
      <c r="BB60" s="119"/>
      <c r="BC60" s="188" t="str">
        <f>IF('Tabela PS'!$AZ$1=FALSE,"",_xlfn.IFERROR(INDEX('Tabela PS'!$AO:$AV,B60+1,8),""))</f>
        <v/>
      </c>
      <c r="BD60" s="119"/>
      <c r="BE60" s="188" t="str">
        <f>IF('Tabela PS'!$AZ$1=FALSE,"",_xlfn.IFERROR(INDEX('Tabela PS'!$AO:$AW,B60+1,9),""))</f>
        <v/>
      </c>
      <c r="BF60" s="119"/>
      <c r="BG60" s="188" t="str">
        <f>IF('Tabela PS'!$AZ$1=FALSE,"",_xlfn.IFERROR(INDEX('Tabela PS'!$AO:$AX,B60+1,10),""))</f>
        <v/>
      </c>
    </row>
    <row r="61" spans="2:59" ht="15">
      <c r="B61" s="224"/>
      <c r="C61" s="224"/>
      <c r="D61" s="224"/>
      <c r="F61" s="224"/>
      <c r="G61" s="250"/>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140"/>
      <c r="AP61" s="140"/>
      <c r="AQ61" s="140"/>
      <c r="AR61" s="140"/>
      <c r="AS61" s="140"/>
      <c r="AT61" s="140"/>
      <c r="AU61" s="140"/>
      <c r="AV61" s="140"/>
      <c r="AW61" s="140"/>
      <c r="AX61" s="140"/>
      <c r="AY61" s="140"/>
      <c r="AZ61" s="140"/>
      <c r="BA61" s="140"/>
      <c r="BB61" s="140"/>
      <c r="BC61" s="140"/>
      <c r="BD61" s="140"/>
      <c r="BE61" s="140"/>
      <c r="BF61" s="140"/>
      <c r="BG61" s="140"/>
    </row>
    <row r="62" spans="2:59" ht="15">
      <c r="B62" s="224"/>
      <c r="C62" s="224"/>
      <c r="D62" s="224"/>
      <c r="F62" s="224"/>
      <c r="G62" s="250"/>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140"/>
      <c r="AP62" s="140"/>
      <c r="AQ62" s="140"/>
      <c r="AR62" s="140"/>
      <c r="AS62" s="140"/>
      <c r="AT62" s="140"/>
      <c r="AU62" s="140"/>
      <c r="AV62" s="140"/>
      <c r="AW62" s="140"/>
      <c r="AX62" s="140"/>
      <c r="AY62" s="140"/>
      <c r="AZ62" s="140"/>
      <c r="BA62" s="140"/>
      <c r="BB62" s="140"/>
      <c r="BC62" s="140"/>
      <c r="BD62" s="140"/>
      <c r="BE62" s="140"/>
      <c r="BF62" s="140"/>
      <c r="BG62" s="140"/>
    </row>
    <row r="63" spans="2:59" ht="15">
      <c r="B63" s="224"/>
      <c r="C63" s="224"/>
      <c r="D63" s="224"/>
      <c r="F63" s="224"/>
      <c r="G63" s="250"/>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140"/>
      <c r="AP63" s="140"/>
      <c r="AQ63" s="140"/>
      <c r="AR63" s="140"/>
      <c r="AS63" s="140"/>
      <c r="AT63" s="140"/>
      <c r="AU63" s="140"/>
      <c r="AV63" s="140"/>
      <c r="AW63" s="140"/>
      <c r="AX63" s="140"/>
      <c r="AY63" s="140"/>
      <c r="AZ63" s="140"/>
      <c r="BA63" s="140"/>
      <c r="BB63" s="140"/>
      <c r="BC63" s="140"/>
      <c r="BD63" s="140"/>
      <c r="BE63" s="140"/>
      <c r="BF63" s="140"/>
      <c r="BG63" s="140"/>
    </row>
    <row r="64" spans="2:59" ht="15">
      <c r="B64" s="224"/>
      <c r="C64" s="224"/>
      <c r="D64" s="224"/>
      <c r="F64" s="224"/>
      <c r="G64" s="250"/>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140"/>
      <c r="AP64" s="140"/>
      <c r="AQ64" s="140"/>
      <c r="AR64" s="140"/>
      <c r="AS64" s="140"/>
      <c r="AT64" s="140"/>
      <c r="AU64" s="140"/>
      <c r="AV64" s="140"/>
      <c r="AW64" s="140"/>
      <c r="AX64" s="140"/>
      <c r="AY64" s="140"/>
      <c r="AZ64" s="140"/>
      <c r="BA64" s="140"/>
      <c r="BB64" s="140"/>
      <c r="BC64" s="140"/>
      <c r="BD64" s="140"/>
      <c r="BE64" s="140"/>
      <c r="BF64" s="140"/>
      <c r="BG64" s="140"/>
    </row>
    <row r="65" spans="2:59" ht="15">
      <c r="B65" s="224"/>
      <c r="C65" s="224"/>
      <c r="D65" s="224"/>
      <c r="F65" s="224"/>
      <c r="G65" s="250"/>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140"/>
      <c r="AP65" s="140"/>
      <c r="AQ65" s="140"/>
      <c r="AR65" s="140"/>
      <c r="AS65" s="140"/>
      <c r="AT65" s="140"/>
      <c r="AU65" s="140"/>
      <c r="AV65" s="140"/>
      <c r="AW65" s="140"/>
      <c r="AX65" s="140"/>
      <c r="AY65" s="140"/>
      <c r="AZ65" s="140"/>
      <c r="BA65" s="140"/>
      <c r="BB65" s="140"/>
      <c r="BC65" s="140"/>
      <c r="BD65" s="140"/>
      <c r="BE65" s="140"/>
      <c r="BF65" s="140"/>
      <c r="BG65" s="140"/>
    </row>
    <row r="66" spans="2:59" ht="15">
      <c r="B66" s="224"/>
      <c r="C66" s="224"/>
      <c r="D66" s="224"/>
      <c r="F66" s="224"/>
      <c r="G66" s="250"/>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140"/>
      <c r="AP66" s="140"/>
      <c r="AQ66" s="140"/>
      <c r="AR66" s="140"/>
      <c r="AS66" s="140"/>
      <c r="AT66" s="140"/>
      <c r="AU66" s="140"/>
      <c r="AV66" s="140"/>
      <c r="AW66" s="140"/>
      <c r="AX66" s="140"/>
      <c r="AY66" s="140"/>
      <c r="AZ66" s="140"/>
      <c r="BA66" s="140"/>
      <c r="BB66" s="140"/>
      <c r="BC66" s="140"/>
      <c r="BD66" s="140"/>
      <c r="BE66" s="140"/>
      <c r="BF66" s="140"/>
      <c r="BG66" s="140"/>
    </row>
    <row r="67" spans="2:59" ht="15">
      <c r="B67" s="224"/>
      <c r="C67" s="224"/>
      <c r="D67" s="224"/>
      <c r="F67" s="224"/>
      <c r="G67" s="250"/>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140"/>
      <c r="AP67" s="140"/>
      <c r="AQ67" s="140"/>
      <c r="AR67" s="140"/>
      <c r="AS67" s="140"/>
      <c r="AT67" s="140"/>
      <c r="AU67" s="140"/>
      <c r="AV67" s="140"/>
      <c r="AW67" s="140"/>
      <c r="AX67" s="140"/>
      <c r="AY67" s="140"/>
      <c r="AZ67" s="140"/>
      <c r="BA67" s="140"/>
      <c r="BB67" s="140"/>
      <c r="BC67" s="140"/>
      <c r="BD67" s="140"/>
      <c r="BE67" s="140"/>
      <c r="BF67" s="140"/>
      <c r="BG67" s="140"/>
    </row>
    <row r="68" spans="2:59" ht="15">
      <c r="B68" s="224"/>
      <c r="C68" s="224"/>
      <c r="D68" s="224"/>
      <c r="F68" s="224"/>
      <c r="G68" s="250"/>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140"/>
      <c r="AP68" s="140"/>
      <c r="AQ68" s="140"/>
      <c r="AR68" s="140"/>
      <c r="AS68" s="140"/>
      <c r="AT68" s="140"/>
      <c r="AU68" s="140"/>
      <c r="AV68" s="140"/>
      <c r="AW68" s="140"/>
      <c r="AX68" s="140"/>
      <c r="AY68" s="140"/>
      <c r="AZ68" s="140"/>
      <c r="BA68" s="140"/>
      <c r="BB68" s="140"/>
      <c r="BC68" s="140"/>
      <c r="BD68" s="140"/>
      <c r="BE68" s="140"/>
      <c r="BF68" s="140"/>
      <c r="BG68" s="140"/>
    </row>
    <row r="69" spans="2:59" ht="15">
      <c r="B69" s="224"/>
      <c r="C69" s="224"/>
      <c r="D69" s="224"/>
      <c r="F69" s="224"/>
      <c r="G69" s="250"/>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140"/>
      <c r="AP69" s="140"/>
      <c r="AQ69" s="140"/>
      <c r="AR69" s="140"/>
      <c r="AS69" s="140"/>
      <c r="AT69" s="140"/>
      <c r="AU69" s="140"/>
      <c r="AV69" s="140"/>
      <c r="AW69" s="140"/>
      <c r="AX69" s="140"/>
      <c r="AY69" s="140"/>
      <c r="AZ69" s="140"/>
      <c r="BA69" s="140"/>
      <c r="BB69" s="140"/>
      <c r="BC69" s="140"/>
      <c r="BD69" s="140"/>
      <c r="BE69" s="140"/>
      <c r="BF69" s="140"/>
      <c r="BG69" s="140"/>
    </row>
    <row r="70" spans="2:59" ht="15">
      <c r="B70" s="224"/>
      <c r="C70" s="224"/>
      <c r="D70" s="224"/>
      <c r="F70" s="224"/>
      <c r="G70" s="250"/>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140"/>
      <c r="AP70" s="140"/>
      <c r="AQ70" s="140"/>
      <c r="AR70" s="140"/>
      <c r="AS70" s="140"/>
      <c r="AT70" s="140"/>
      <c r="AU70" s="140"/>
      <c r="AV70" s="140"/>
      <c r="AW70" s="140"/>
      <c r="AX70" s="140"/>
      <c r="AY70" s="140"/>
      <c r="AZ70" s="140"/>
      <c r="BA70" s="140"/>
      <c r="BB70" s="140"/>
      <c r="BC70" s="140"/>
      <c r="BD70" s="140"/>
      <c r="BE70" s="140"/>
      <c r="BF70" s="140"/>
      <c r="BG70" s="140"/>
    </row>
    <row r="71" spans="2:59" ht="15">
      <c r="B71" s="224"/>
      <c r="C71" s="224"/>
      <c r="D71" s="224"/>
      <c r="F71" s="224"/>
      <c r="G71" s="250"/>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140"/>
      <c r="AP71" s="140"/>
      <c r="AQ71" s="140"/>
      <c r="AR71" s="140"/>
      <c r="AS71" s="140"/>
      <c r="AT71" s="140"/>
      <c r="AU71" s="140"/>
      <c r="AV71" s="140"/>
      <c r="AW71" s="140"/>
      <c r="AX71" s="140"/>
      <c r="AY71" s="140"/>
      <c r="AZ71" s="140"/>
      <c r="BA71" s="140"/>
      <c r="BB71" s="140"/>
      <c r="BC71" s="140"/>
      <c r="BD71" s="140"/>
      <c r="BE71" s="140"/>
      <c r="BF71" s="140"/>
      <c r="BG71" s="140"/>
    </row>
    <row r="72" spans="2:59" ht="15">
      <c r="B72" s="224"/>
      <c r="C72" s="224"/>
      <c r="D72" s="224"/>
      <c r="F72" s="224"/>
      <c r="G72" s="250"/>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140"/>
      <c r="AP72" s="140"/>
      <c r="AQ72" s="140"/>
      <c r="AR72" s="140"/>
      <c r="AS72" s="140"/>
      <c r="AT72" s="140"/>
      <c r="AU72" s="140"/>
      <c r="AV72" s="140"/>
      <c r="AW72" s="140"/>
      <c r="AX72" s="140"/>
      <c r="AY72" s="140"/>
      <c r="AZ72" s="140"/>
      <c r="BA72" s="140"/>
      <c r="BB72" s="140"/>
      <c r="BC72" s="140"/>
      <c r="BD72" s="140"/>
      <c r="BE72" s="140"/>
      <c r="BF72" s="140"/>
      <c r="BG72" s="140"/>
    </row>
    <row r="73" spans="2:59" ht="15">
      <c r="B73" s="224"/>
      <c r="C73" s="224"/>
      <c r="D73" s="224"/>
      <c r="F73" s="224"/>
      <c r="G73" s="250"/>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0"/>
      <c r="AP73" s="140"/>
      <c r="AQ73" s="140"/>
      <c r="AR73" s="140"/>
      <c r="AS73" s="140"/>
      <c r="AT73" s="140"/>
      <c r="AU73" s="140"/>
      <c r="AV73" s="140"/>
      <c r="AW73" s="140"/>
      <c r="AX73" s="140"/>
      <c r="AY73" s="140"/>
      <c r="AZ73" s="140"/>
      <c r="BA73" s="140"/>
      <c r="BB73" s="140"/>
      <c r="BC73" s="140"/>
      <c r="BD73" s="140"/>
      <c r="BE73" s="140"/>
      <c r="BF73" s="140"/>
      <c r="BG73" s="140"/>
    </row>
    <row r="74" spans="2:59" ht="15">
      <c r="B74" s="224"/>
      <c r="C74" s="224"/>
      <c r="D74" s="224"/>
      <c r="F74" s="224"/>
      <c r="G74" s="250"/>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0"/>
      <c r="AP74" s="140"/>
      <c r="AQ74" s="140"/>
      <c r="AR74" s="140"/>
      <c r="AS74" s="140"/>
      <c r="AT74" s="140"/>
      <c r="AU74" s="140"/>
      <c r="AV74" s="140"/>
      <c r="AW74" s="140"/>
      <c r="AX74" s="140"/>
      <c r="AY74" s="140"/>
      <c r="AZ74" s="140"/>
      <c r="BA74" s="140"/>
      <c r="BB74" s="140"/>
      <c r="BC74" s="140"/>
      <c r="BD74" s="140"/>
      <c r="BE74" s="140"/>
      <c r="BF74" s="140"/>
      <c r="BG74" s="140"/>
    </row>
    <row r="75" spans="2:59" ht="15">
      <c r="B75" s="224"/>
      <c r="C75" s="224"/>
      <c r="D75" s="224"/>
      <c r="F75" s="224"/>
      <c r="G75" s="250"/>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0"/>
      <c r="AP75" s="140"/>
      <c r="AQ75" s="140"/>
      <c r="AR75" s="140"/>
      <c r="AS75" s="140"/>
      <c r="AT75" s="140"/>
      <c r="AU75" s="140"/>
      <c r="AV75" s="140"/>
      <c r="AW75" s="140"/>
      <c r="AX75" s="140"/>
      <c r="AY75" s="140"/>
      <c r="AZ75" s="140"/>
      <c r="BA75" s="140"/>
      <c r="BB75" s="140"/>
      <c r="BC75" s="140"/>
      <c r="BD75" s="140"/>
      <c r="BE75" s="140"/>
      <c r="BF75" s="140"/>
      <c r="BG75" s="140"/>
    </row>
    <row r="76" spans="2:59" ht="15">
      <c r="B76" s="224"/>
      <c r="C76" s="224"/>
      <c r="D76" s="224"/>
      <c r="F76" s="224"/>
      <c r="G76" s="250"/>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0"/>
      <c r="AP76" s="140"/>
      <c r="AQ76" s="140"/>
      <c r="AR76" s="140"/>
      <c r="AS76" s="140"/>
      <c r="AT76" s="140"/>
      <c r="AU76" s="140"/>
      <c r="AV76" s="140"/>
      <c r="AW76" s="140"/>
      <c r="AX76" s="140"/>
      <c r="AY76" s="140"/>
      <c r="AZ76" s="140"/>
      <c r="BA76" s="140"/>
      <c r="BB76" s="140"/>
      <c r="BC76" s="140"/>
      <c r="BD76" s="140"/>
      <c r="BE76" s="140"/>
      <c r="BF76" s="140"/>
      <c r="BG76" s="140"/>
    </row>
    <row r="77" spans="2:59" ht="15">
      <c r="B77" s="224"/>
      <c r="C77" s="224"/>
      <c r="D77" s="224"/>
      <c r="F77" s="224"/>
      <c r="G77" s="250"/>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0"/>
      <c r="AP77" s="140"/>
      <c r="AQ77" s="140"/>
      <c r="AR77" s="140"/>
      <c r="AS77" s="140"/>
      <c r="AT77" s="140"/>
      <c r="AU77" s="140"/>
      <c r="AV77" s="140"/>
      <c r="AW77" s="140"/>
      <c r="AX77" s="140"/>
      <c r="AY77" s="140"/>
      <c r="AZ77" s="140"/>
      <c r="BA77" s="140"/>
      <c r="BB77" s="140"/>
      <c r="BC77" s="140"/>
      <c r="BD77" s="140"/>
      <c r="BE77" s="140"/>
      <c r="BF77" s="140"/>
      <c r="BG77" s="140"/>
    </row>
    <row r="78" spans="2:59" ht="15">
      <c r="B78" s="224"/>
      <c r="C78" s="224"/>
      <c r="D78" s="224"/>
      <c r="F78" s="224"/>
      <c r="G78" s="250"/>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0"/>
      <c r="AP78" s="140"/>
      <c r="AQ78" s="140"/>
      <c r="AR78" s="140"/>
      <c r="AS78" s="140"/>
      <c r="AT78" s="140"/>
      <c r="AU78" s="140"/>
      <c r="AV78" s="140"/>
      <c r="AW78" s="140"/>
      <c r="AX78" s="140"/>
      <c r="AY78" s="140"/>
      <c r="AZ78" s="140"/>
      <c r="BA78" s="140"/>
      <c r="BB78" s="140"/>
      <c r="BC78" s="140"/>
      <c r="BD78" s="140"/>
      <c r="BE78" s="140"/>
      <c r="BF78" s="140"/>
      <c r="BG78" s="140"/>
    </row>
    <row r="79" spans="2:59" ht="15">
      <c r="B79" s="224"/>
      <c r="C79" s="224"/>
      <c r="D79" s="224"/>
      <c r="F79" s="224"/>
      <c r="G79" s="250"/>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0"/>
      <c r="AP79" s="140"/>
      <c r="AQ79" s="140"/>
      <c r="AR79" s="140"/>
      <c r="AS79" s="140"/>
      <c r="AT79" s="140"/>
      <c r="AU79" s="140"/>
      <c r="AV79" s="140"/>
      <c r="AW79" s="140"/>
      <c r="AX79" s="140"/>
      <c r="AY79" s="140"/>
      <c r="AZ79" s="140"/>
      <c r="BA79" s="140"/>
      <c r="BB79" s="140"/>
      <c r="BC79" s="140"/>
      <c r="BD79" s="140"/>
      <c r="BE79" s="140"/>
      <c r="BF79" s="140"/>
      <c r="BG79" s="140"/>
    </row>
    <row r="80" spans="2:59" ht="15">
      <c r="B80" s="224"/>
      <c r="C80" s="224"/>
      <c r="D80" s="224"/>
      <c r="F80" s="224"/>
      <c r="G80" s="250"/>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0"/>
      <c r="AP80" s="140"/>
      <c r="AQ80" s="140"/>
      <c r="AR80" s="140"/>
      <c r="AS80" s="140"/>
      <c r="AT80" s="140"/>
      <c r="AU80" s="140"/>
      <c r="AV80" s="140"/>
      <c r="AW80" s="140"/>
      <c r="AX80" s="140"/>
      <c r="AY80" s="140"/>
      <c r="AZ80" s="140"/>
      <c r="BA80" s="140"/>
      <c r="BB80" s="140"/>
      <c r="BC80" s="140"/>
      <c r="BD80" s="140"/>
      <c r="BE80" s="140"/>
      <c r="BF80" s="140"/>
      <c r="BG80" s="140"/>
    </row>
    <row r="81" spans="2:59" ht="15">
      <c r="B81" s="224"/>
      <c r="C81" s="224"/>
      <c r="D81" s="224"/>
      <c r="F81" s="224"/>
      <c r="G81" s="250"/>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0"/>
      <c r="AP81" s="140"/>
      <c r="AQ81" s="140"/>
      <c r="AR81" s="140"/>
      <c r="AS81" s="140"/>
      <c r="AT81" s="140"/>
      <c r="AU81" s="140"/>
      <c r="AV81" s="140"/>
      <c r="AW81" s="140"/>
      <c r="AX81" s="140"/>
      <c r="AY81" s="140"/>
      <c r="AZ81" s="140"/>
      <c r="BA81" s="140"/>
      <c r="BB81" s="140"/>
      <c r="BC81" s="140"/>
      <c r="BD81" s="140"/>
      <c r="BE81" s="140"/>
      <c r="BF81" s="140"/>
      <c r="BG81" s="140"/>
    </row>
    <row r="82" spans="2:59" ht="15">
      <c r="B82" s="224"/>
      <c r="C82" s="224"/>
      <c r="D82" s="224"/>
      <c r="F82" s="224"/>
      <c r="G82" s="250"/>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0"/>
      <c r="AP82" s="140"/>
      <c r="AQ82" s="140"/>
      <c r="AR82" s="140"/>
      <c r="AS82" s="140"/>
      <c r="AT82" s="140"/>
      <c r="AU82" s="140"/>
      <c r="AV82" s="140"/>
      <c r="AW82" s="140"/>
      <c r="AX82" s="140"/>
      <c r="AY82" s="140"/>
      <c r="AZ82" s="140"/>
      <c r="BA82" s="140"/>
      <c r="BB82" s="140"/>
      <c r="BC82" s="140"/>
      <c r="BD82" s="140"/>
      <c r="BE82" s="140"/>
      <c r="BF82" s="140"/>
      <c r="BG82" s="140"/>
    </row>
    <row r="83" spans="2:59" ht="15">
      <c r="B83" s="224"/>
      <c r="C83" s="224"/>
      <c r="D83" s="224"/>
      <c r="F83" s="224"/>
      <c r="G83" s="250"/>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0"/>
      <c r="AP83" s="140"/>
      <c r="AQ83" s="140"/>
      <c r="AR83" s="140"/>
      <c r="AS83" s="140"/>
      <c r="AT83" s="140"/>
      <c r="AU83" s="140"/>
      <c r="AV83" s="140"/>
      <c r="AW83" s="140"/>
      <c r="AX83" s="140"/>
      <c r="AY83" s="140"/>
      <c r="AZ83" s="140"/>
      <c r="BA83" s="140"/>
      <c r="BB83" s="140"/>
      <c r="BC83" s="140"/>
      <c r="BD83" s="140"/>
      <c r="BE83" s="140"/>
      <c r="BF83" s="140"/>
      <c r="BG83" s="140"/>
    </row>
    <row r="84" spans="2:59" ht="15">
      <c r="B84" s="224"/>
      <c r="C84" s="224"/>
      <c r="D84" s="224"/>
      <c r="F84" s="224"/>
      <c r="G84" s="250"/>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0"/>
      <c r="AP84" s="140"/>
      <c r="AQ84" s="140"/>
      <c r="AR84" s="140"/>
      <c r="AS84" s="140"/>
      <c r="AT84" s="140"/>
      <c r="AU84" s="140"/>
      <c r="AV84" s="140"/>
      <c r="AW84" s="140"/>
      <c r="AX84" s="140"/>
      <c r="AY84" s="140"/>
      <c r="AZ84" s="140"/>
      <c r="BA84" s="140"/>
      <c r="BB84" s="140"/>
      <c r="BC84" s="140"/>
      <c r="BD84" s="140"/>
      <c r="BE84" s="140"/>
      <c r="BF84" s="140"/>
      <c r="BG84" s="140"/>
    </row>
    <row r="85" spans="2:59" ht="15">
      <c r="B85" s="224"/>
      <c r="C85" s="224"/>
      <c r="D85" s="224"/>
      <c r="F85" s="224"/>
      <c r="G85" s="250"/>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140"/>
      <c r="AP85" s="140"/>
      <c r="AQ85" s="140"/>
      <c r="AR85" s="140"/>
      <c r="AS85" s="140"/>
      <c r="AT85" s="140"/>
      <c r="AU85" s="140"/>
      <c r="AV85" s="140"/>
      <c r="AW85" s="140"/>
      <c r="AX85" s="140"/>
      <c r="AY85" s="140"/>
      <c r="AZ85" s="140"/>
      <c r="BA85" s="140"/>
      <c r="BB85" s="140"/>
      <c r="BC85" s="140"/>
      <c r="BD85" s="140"/>
      <c r="BE85" s="140"/>
      <c r="BF85" s="140"/>
      <c r="BG85" s="140"/>
    </row>
    <row r="86" spans="2:59" ht="15">
      <c r="B86" s="224"/>
      <c r="C86" s="224"/>
      <c r="D86" s="224"/>
      <c r="F86" s="224"/>
      <c r="G86" s="250"/>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140"/>
      <c r="AP86" s="140"/>
      <c r="AQ86" s="140"/>
      <c r="AR86" s="140"/>
      <c r="AS86" s="140"/>
      <c r="AT86" s="140"/>
      <c r="AU86" s="140"/>
      <c r="AV86" s="140"/>
      <c r="AW86" s="140"/>
      <c r="AX86" s="140"/>
      <c r="AY86" s="140"/>
      <c r="AZ86" s="140"/>
      <c r="BA86" s="140"/>
      <c r="BB86" s="140"/>
      <c r="BC86" s="140"/>
      <c r="BD86" s="140"/>
      <c r="BE86" s="140"/>
      <c r="BF86" s="140"/>
      <c r="BG86" s="140"/>
    </row>
    <row r="87" spans="2:59" ht="15">
      <c r="B87" s="224"/>
      <c r="C87" s="224"/>
      <c r="D87" s="224"/>
      <c r="F87" s="224"/>
      <c r="G87" s="250"/>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0"/>
      <c r="AP87" s="140"/>
      <c r="AQ87" s="140"/>
      <c r="AR87" s="140"/>
      <c r="AS87" s="140"/>
      <c r="AT87" s="140"/>
      <c r="AU87" s="140"/>
      <c r="AV87" s="140"/>
      <c r="AW87" s="140"/>
      <c r="AX87" s="140"/>
      <c r="AY87" s="140"/>
      <c r="AZ87" s="140"/>
      <c r="BA87" s="140"/>
      <c r="BB87" s="140"/>
      <c r="BC87" s="140"/>
      <c r="BD87" s="140"/>
      <c r="BE87" s="140"/>
      <c r="BF87" s="140"/>
      <c r="BG87" s="140"/>
    </row>
    <row r="88" spans="2:59" ht="15">
      <c r="B88" s="224"/>
      <c r="C88" s="224"/>
      <c r="D88" s="224"/>
      <c r="F88" s="224"/>
      <c r="G88" s="250"/>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0"/>
      <c r="AP88" s="140"/>
      <c r="AQ88" s="140"/>
      <c r="AR88" s="140"/>
      <c r="AS88" s="140"/>
      <c r="AT88" s="140"/>
      <c r="AU88" s="140"/>
      <c r="AV88" s="140"/>
      <c r="AW88" s="140"/>
      <c r="AX88" s="140"/>
      <c r="AY88" s="140"/>
      <c r="AZ88" s="140"/>
      <c r="BA88" s="140"/>
      <c r="BB88" s="140"/>
      <c r="BC88" s="140"/>
      <c r="BD88" s="140"/>
      <c r="BE88" s="140"/>
      <c r="BF88" s="140"/>
      <c r="BG88" s="140"/>
    </row>
    <row r="89" spans="2:59" ht="15">
      <c r="B89" s="224"/>
      <c r="C89" s="224"/>
      <c r="D89" s="224"/>
      <c r="F89" s="224"/>
      <c r="G89" s="250"/>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0"/>
      <c r="AP89" s="140"/>
      <c r="AQ89" s="140"/>
      <c r="AR89" s="140"/>
      <c r="AS89" s="140"/>
      <c r="AT89" s="140"/>
      <c r="AU89" s="140"/>
      <c r="AV89" s="140"/>
      <c r="AW89" s="140"/>
      <c r="AX89" s="140"/>
      <c r="AY89" s="140"/>
      <c r="AZ89" s="140"/>
      <c r="BA89" s="140"/>
      <c r="BB89" s="140"/>
      <c r="BC89" s="140"/>
      <c r="BD89" s="140"/>
      <c r="BE89" s="140"/>
      <c r="BF89" s="140"/>
      <c r="BG89" s="140"/>
    </row>
    <row r="90" spans="2:59" ht="15">
      <c r="B90" s="224"/>
      <c r="C90" s="224"/>
      <c r="D90" s="224"/>
      <c r="F90" s="224"/>
      <c r="G90" s="250"/>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140"/>
      <c r="AP90" s="140"/>
      <c r="AQ90" s="140"/>
      <c r="AR90" s="140"/>
      <c r="AS90" s="140"/>
      <c r="AT90" s="140"/>
      <c r="AU90" s="140"/>
      <c r="AV90" s="140"/>
      <c r="AW90" s="140"/>
      <c r="AX90" s="140"/>
      <c r="AY90" s="140"/>
      <c r="AZ90" s="140"/>
      <c r="BA90" s="140"/>
      <c r="BB90" s="140"/>
      <c r="BC90" s="140"/>
      <c r="BD90" s="140"/>
      <c r="BE90" s="140"/>
      <c r="BF90" s="140"/>
      <c r="BG90" s="140"/>
    </row>
    <row r="91" spans="2:59" ht="15">
      <c r="B91" s="224"/>
      <c r="C91" s="224"/>
      <c r="D91" s="224"/>
      <c r="F91" s="224"/>
      <c r="G91" s="250"/>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140"/>
      <c r="AP91" s="140"/>
      <c r="AQ91" s="140"/>
      <c r="AR91" s="140"/>
      <c r="AS91" s="140"/>
      <c r="AT91" s="140"/>
      <c r="AU91" s="140"/>
      <c r="AV91" s="140"/>
      <c r="AW91" s="140"/>
      <c r="AX91" s="140"/>
      <c r="AY91" s="140"/>
      <c r="AZ91" s="140"/>
      <c r="BA91" s="140"/>
      <c r="BB91" s="140"/>
      <c r="BC91" s="140"/>
      <c r="BD91" s="140"/>
      <c r="BE91" s="140"/>
      <c r="BF91" s="140"/>
      <c r="BG91" s="140"/>
    </row>
    <row r="92" spans="2:59" ht="15">
      <c r="B92" s="224"/>
      <c r="C92" s="224"/>
      <c r="D92" s="224"/>
      <c r="F92" s="224"/>
      <c r="G92" s="250"/>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140"/>
      <c r="AP92" s="140"/>
      <c r="AQ92" s="140"/>
      <c r="AR92" s="140"/>
      <c r="AS92" s="140"/>
      <c r="AT92" s="140"/>
      <c r="AU92" s="140"/>
      <c r="AV92" s="140"/>
      <c r="AW92" s="140"/>
      <c r="AX92" s="140"/>
      <c r="AY92" s="140"/>
      <c r="AZ92" s="140"/>
      <c r="BA92" s="140"/>
      <c r="BB92" s="140"/>
      <c r="BC92" s="140"/>
      <c r="BD92" s="140"/>
      <c r="BE92" s="140"/>
      <c r="BF92" s="140"/>
      <c r="BG92" s="140"/>
    </row>
    <row r="93" spans="2:59" ht="15">
      <c r="B93" s="224"/>
      <c r="C93" s="224"/>
      <c r="D93" s="224"/>
      <c r="F93" s="224"/>
      <c r="G93" s="250"/>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140"/>
      <c r="AP93" s="140"/>
      <c r="AQ93" s="140"/>
      <c r="AR93" s="140"/>
      <c r="AS93" s="140"/>
      <c r="AT93" s="140"/>
      <c r="AU93" s="140"/>
      <c r="AV93" s="140"/>
      <c r="AW93" s="140"/>
      <c r="AX93" s="140"/>
      <c r="AY93" s="140"/>
      <c r="AZ93" s="140"/>
      <c r="BA93" s="140"/>
      <c r="BB93" s="140"/>
      <c r="BC93" s="140"/>
      <c r="BD93" s="140"/>
      <c r="BE93" s="140"/>
      <c r="BF93" s="140"/>
      <c r="BG93" s="140"/>
    </row>
    <row r="94" spans="2:59" ht="15">
      <c r="B94" s="224"/>
      <c r="C94" s="224"/>
      <c r="D94" s="224"/>
      <c r="F94" s="224"/>
      <c r="G94" s="250"/>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140"/>
      <c r="AP94" s="140"/>
      <c r="AQ94" s="140"/>
      <c r="AR94" s="140"/>
      <c r="AS94" s="140"/>
      <c r="AT94" s="140"/>
      <c r="AU94" s="140"/>
      <c r="AV94" s="140"/>
      <c r="AW94" s="140"/>
      <c r="AX94" s="140"/>
      <c r="AY94" s="140"/>
      <c r="AZ94" s="140"/>
      <c r="BA94" s="140"/>
      <c r="BB94" s="140"/>
      <c r="BC94" s="140"/>
      <c r="BD94" s="140"/>
      <c r="BE94" s="140"/>
      <c r="BF94" s="140"/>
      <c r="BG94" s="140"/>
    </row>
    <row r="95" spans="2:59" ht="15">
      <c r="B95" s="224"/>
      <c r="C95" s="224"/>
      <c r="D95" s="224"/>
      <c r="F95" s="224"/>
      <c r="G95" s="250"/>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0"/>
      <c r="AP95" s="140"/>
      <c r="AQ95" s="140"/>
      <c r="AR95" s="140"/>
      <c r="AS95" s="140"/>
      <c r="AT95" s="140"/>
      <c r="AU95" s="140"/>
      <c r="AV95" s="140"/>
      <c r="AW95" s="140"/>
      <c r="AX95" s="140"/>
      <c r="AY95" s="140"/>
      <c r="AZ95" s="140"/>
      <c r="BA95" s="140"/>
      <c r="BB95" s="140"/>
      <c r="BC95" s="140"/>
      <c r="BD95" s="140"/>
      <c r="BE95" s="140"/>
      <c r="BF95" s="140"/>
      <c r="BG95" s="140"/>
    </row>
    <row r="96" spans="2:59" ht="15">
      <c r="B96" s="224"/>
      <c r="C96" s="224"/>
      <c r="D96" s="224"/>
      <c r="F96" s="224"/>
      <c r="G96" s="250"/>
      <c r="H96" s="236"/>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140"/>
      <c r="AP96" s="140"/>
      <c r="AQ96" s="140"/>
      <c r="AR96" s="140"/>
      <c r="AS96" s="140"/>
      <c r="AT96" s="140"/>
      <c r="AU96" s="140"/>
      <c r="AV96" s="140"/>
      <c r="AW96" s="140"/>
      <c r="AX96" s="140"/>
      <c r="AY96" s="140"/>
      <c r="AZ96" s="140"/>
      <c r="BA96" s="140"/>
      <c r="BB96" s="140"/>
      <c r="BC96" s="140"/>
      <c r="BD96" s="140"/>
      <c r="BE96" s="140"/>
      <c r="BF96" s="140"/>
      <c r="BG96" s="140"/>
    </row>
    <row r="97" spans="2:59" ht="15">
      <c r="B97" s="224"/>
      <c r="C97" s="224"/>
      <c r="D97" s="224"/>
      <c r="F97" s="224"/>
      <c r="G97" s="250"/>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140"/>
      <c r="AP97" s="140"/>
      <c r="AQ97" s="140"/>
      <c r="AR97" s="140"/>
      <c r="AS97" s="140"/>
      <c r="AT97" s="140"/>
      <c r="AU97" s="140"/>
      <c r="AV97" s="140"/>
      <c r="AW97" s="140"/>
      <c r="AX97" s="140"/>
      <c r="AY97" s="140"/>
      <c r="AZ97" s="140"/>
      <c r="BA97" s="140"/>
      <c r="BB97" s="140"/>
      <c r="BC97" s="140"/>
      <c r="BD97" s="140"/>
      <c r="BE97" s="140"/>
      <c r="BF97" s="140"/>
      <c r="BG97" s="140"/>
    </row>
    <row r="98" spans="2:59" ht="15">
      <c r="B98" s="224"/>
      <c r="C98" s="224"/>
      <c r="D98" s="224"/>
      <c r="F98" s="224"/>
      <c r="G98" s="250"/>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0"/>
      <c r="AP98" s="140"/>
      <c r="AQ98" s="140"/>
      <c r="AR98" s="140"/>
      <c r="AS98" s="140"/>
      <c r="AT98" s="140"/>
      <c r="AU98" s="140"/>
      <c r="AV98" s="140"/>
      <c r="AW98" s="140"/>
      <c r="AX98" s="140"/>
      <c r="AY98" s="140"/>
      <c r="AZ98" s="140"/>
      <c r="BA98" s="140"/>
      <c r="BB98" s="140"/>
      <c r="BC98" s="140"/>
      <c r="BD98" s="140"/>
      <c r="BE98" s="140"/>
      <c r="BF98" s="140"/>
      <c r="BG98" s="140"/>
    </row>
  </sheetData>
  <sheetProtection algorithmName="SHA-512" hashValue="ZeJd8x6f01Ir/8aC4hDrPbJyH616J3SMl3mCTUkBSEFG/b/gWWa1E/FIkWRdMwAUvGOKpxuuyGF4J2wbIz8lZA==" saltValue="30jxWsJM+OsdGPjaZk7eRA==" spinCount="100000" sheet="1" objects="1" scenarios="1"/>
  <mergeCells count="152">
    <mergeCell ref="J53:N53"/>
    <mergeCell ref="J54:N54"/>
    <mergeCell ref="H4:AL4"/>
    <mergeCell ref="J55:N55"/>
    <mergeCell ref="J56:N56"/>
    <mergeCell ref="J57:N57"/>
    <mergeCell ref="B2:AM3"/>
    <mergeCell ref="J25:N25"/>
    <mergeCell ref="J26:N26"/>
    <mergeCell ref="J27:N27"/>
    <mergeCell ref="J28:N28"/>
    <mergeCell ref="J29:N29"/>
    <mergeCell ref="J30:N30"/>
    <mergeCell ref="J31:N31"/>
    <mergeCell ref="J32:N32"/>
    <mergeCell ref="AG16:AH16"/>
    <mergeCell ref="AH25:AL25"/>
    <mergeCell ref="AH26:AL26"/>
    <mergeCell ref="AH27:AL27"/>
    <mergeCell ref="AH28:AL28"/>
    <mergeCell ref="AH29:AL29"/>
    <mergeCell ref="AH30:AL30"/>
    <mergeCell ref="AH31:AL31"/>
    <mergeCell ref="P51:T51"/>
    <mergeCell ref="V36:AF36"/>
    <mergeCell ref="V45:AF45"/>
    <mergeCell ref="P60:T60"/>
    <mergeCell ref="J47:N47"/>
    <mergeCell ref="J48:N48"/>
    <mergeCell ref="P25:T25"/>
    <mergeCell ref="J38:N38"/>
    <mergeCell ref="J39:N39"/>
    <mergeCell ref="J40:N40"/>
    <mergeCell ref="J41:N41"/>
    <mergeCell ref="J42:N42"/>
    <mergeCell ref="J43:N43"/>
    <mergeCell ref="J44:N44"/>
    <mergeCell ref="J45:N45"/>
    <mergeCell ref="J46:N46"/>
    <mergeCell ref="J33:N33"/>
    <mergeCell ref="J34:N34"/>
    <mergeCell ref="J35:N35"/>
    <mergeCell ref="J36:N36"/>
    <mergeCell ref="J37:N37"/>
    <mergeCell ref="J49:N49"/>
    <mergeCell ref="J50:N50"/>
    <mergeCell ref="J51:N51"/>
    <mergeCell ref="J52:N52"/>
    <mergeCell ref="AH50:AL50"/>
    <mergeCell ref="V46:AF46"/>
    <mergeCell ref="V47:AF47"/>
    <mergeCell ref="V48:AF48"/>
    <mergeCell ref="V49:AF49"/>
    <mergeCell ref="V50:AF50"/>
    <mergeCell ref="AH32:AL32"/>
    <mergeCell ref="AH33:AL33"/>
    <mergeCell ref="P44:T44"/>
    <mergeCell ref="P45:T45"/>
    <mergeCell ref="P46:T46"/>
    <mergeCell ref="P47:T47"/>
    <mergeCell ref="P48:T48"/>
    <mergeCell ref="P49:T49"/>
    <mergeCell ref="P50:T50"/>
    <mergeCell ref="AH37:AL37"/>
    <mergeCell ref="AH38:AL38"/>
    <mergeCell ref="AH39:AL39"/>
    <mergeCell ref="AH40:AL40"/>
    <mergeCell ref="AH34:AL34"/>
    <mergeCell ref="AH35:AL35"/>
    <mergeCell ref="AH36:AL36"/>
    <mergeCell ref="V34:AF34"/>
    <mergeCell ref="V35:AF35"/>
    <mergeCell ref="AG21:AH21"/>
    <mergeCell ref="H17:AL18"/>
    <mergeCell ref="V25:AF25"/>
    <mergeCell ref="V26:AF26"/>
    <mergeCell ref="V27:AF27"/>
    <mergeCell ref="V28:AF28"/>
    <mergeCell ref="V29:AF29"/>
    <mergeCell ref="J7:AJ8"/>
    <mergeCell ref="B7:H8"/>
    <mergeCell ref="V33:AF33"/>
    <mergeCell ref="V23:AL23"/>
    <mergeCell ref="J58:N58"/>
    <mergeCell ref="J59:N59"/>
    <mergeCell ref="AH56:AL56"/>
    <mergeCell ref="V37:AF37"/>
    <mergeCell ref="V38:AF38"/>
    <mergeCell ref="V39:AF39"/>
    <mergeCell ref="V40:AF40"/>
    <mergeCell ref="V59:AF59"/>
    <mergeCell ref="AH41:AL41"/>
    <mergeCell ref="AH42:AL42"/>
    <mergeCell ref="AH43:AL43"/>
    <mergeCell ref="AH44:AL44"/>
    <mergeCell ref="AH45:AL45"/>
    <mergeCell ref="V41:AF41"/>
    <mergeCell ref="V42:AF42"/>
    <mergeCell ref="V43:AF43"/>
    <mergeCell ref="V44:AF44"/>
    <mergeCell ref="AH57:AL57"/>
    <mergeCell ref="AH58:AL58"/>
    <mergeCell ref="P54:T54"/>
    <mergeCell ref="AH46:AL46"/>
    <mergeCell ref="AH47:AL47"/>
    <mergeCell ref="AH48:AL48"/>
    <mergeCell ref="AH49:AL49"/>
    <mergeCell ref="J60:N60"/>
    <mergeCell ref="P26:T26"/>
    <mergeCell ref="P27:T27"/>
    <mergeCell ref="P28:T28"/>
    <mergeCell ref="P29:T29"/>
    <mergeCell ref="P30:T30"/>
    <mergeCell ref="P31:T31"/>
    <mergeCell ref="P32:T32"/>
    <mergeCell ref="P33:T33"/>
    <mergeCell ref="P34:T34"/>
    <mergeCell ref="P35:T35"/>
    <mergeCell ref="P36:T36"/>
    <mergeCell ref="P37:T37"/>
    <mergeCell ref="P38:T38"/>
    <mergeCell ref="P39:T39"/>
    <mergeCell ref="P40:T40"/>
    <mergeCell ref="P41:T41"/>
    <mergeCell ref="P42:T42"/>
    <mergeCell ref="P43:T43"/>
    <mergeCell ref="V30:AF30"/>
    <mergeCell ref="V31:AF31"/>
    <mergeCell ref="V32:AF32"/>
    <mergeCell ref="P55:T55"/>
    <mergeCell ref="P56:T56"/>
    <mergeCell ref="P57:T57"/>
    <mergeCell ref="P58:T58"/>
    <mergeCell ref="P59:T59"/>
    <mergeCell ref="AH60:AL60"/>
    <mergeCell ref="AH51:AL51"/>
    <mergeCell ref="AH52:AL52"/>
    <mergeCell ref="AH53:AL53"/>
    <mergeCell ref="AH54:AL54"/>
    <mergeCell ref="AH55:AL55"/>
    <mergeCell ref="V51:AF51"/>
    <mergeCell ref="V52:AF52"/>
    <mergeCell ref="V53:AF53"/>
    <mergeCell ref="V54:AF54"/>
    <mergeCell ref="V60:AF60"/>
    <mergeCell ref="V57:AF57"/>
    <mergeCell ref="V58:AF58"/>
    <mergeCell ref="AH59:AL59"/>
    <mergeCell ref="V55:AF55"/>
    <mergeCell ref="V56:AF56"/>
    <mergeCell ref="P52:T52"/>
    <mergeCell ref="P53:T53"/>
  </mergeCells>
  <conditionalFormatting sqref="F27 F29 F31 F33 F35 F37 F39 F41 F43 F45 F47 F49 F51 F53 F55 F57 F59 F61 F63 F65 F67 F69 F71 F73 F75 F77 F79 F81 F83 F85 F87 F89 F91 F93 F95 F97 AP61 AP63 AP65 AP67 AP69 AP71 AP73 AP75 AP77 AP79 AP81 AP83 AP85 AP87 AP89 AP91 AP93 AP95 AP97 O27 O29 O31 O33 O35 O37 O39 O41 O43 O45 O47 O49 O51 O53 O55 O57 O59 D27 D29 D31 D33 D35 D37 D39 D41 D43 D45 D47 D49 D51 D53 D55 D57 D59 H61:AK61 H63:AK63 H65:AK65 H67:AK67 H69:AK69 H71:AK71 H73:AK73 H75:AK75 H77:AK77 H79:AK79 H81:AK81 H83:AK83 H85:AK85 H87:AK87 H89:AK89 H91:AK91 H93:AK93 H95:AK95 H97:AK97 I27 I29 I31 I33 I35 I37 I39 I41 I43 I45 I47 I49 I51 I53 I55 I57 I59 AM61:AN61 AM63:AN63 AM65:AN65 AM67:AN67 AM69:AN69 AM71:AN71 AM73:AN73 AM75:AN75 AM77:AN77 AM79:AN79 AM81:AN81 AM83:AN83 AM85:AN85 AM87:AN87 AM89:AN89 AM91:AN91 AM93:AN93 AM95:AN95 AM97:AN97">
    <cfRule type="notContainsBlanks" priority="85" dxfId="1">
      <formula>LEN(TRIM(D27))&gt;0</formula>
    </cfRule>
  </conditionalFormatting>
  <conditionalFormatting sqref="J27 J29 J31 J33 J35 J37 J39 J41 J43 J45 J47 J49 J51 J53 J55 J57 J59 AL61 AL63 AL65 AL67 AL69 AL71 AL73 AL75 AL77 AL79 AL81 AL83 AL85 AL87 AL89 AL91 AL93 AL95 AL97">
    <cfRule type="notContainsBlanks" priority="84" dxfId="1">
      <formula>LEN(TRIM(J27))&gt;0</formula>
    </cfRule>
  </conditionalFormatting>
  <conditionalFormatting sqref="AO61 AO63 AO65 AO67 AO69 AO71 AO73 AO75 AO77 AO79 AO81 AO83 AO85 AO87 AO89 AO91 AO93 AO95 AO97">
    <cfRule type="notContainsBlanks" priority="81" dxfId="1">
      <formula>LEN(TRIM(AO61))&gt;0</formula>
    </cfRule>
  </conditionalFormatting>
  <conditionalFormatting sqref="B27:C27 B29:C29 B31:C31 B33:C33 B35:C35 B37:C37 B39:C39 B41:C41 B43:C43 B45:C45 B47:C47 B49:C49 B51:C51 B53:C53 B55:C55 B57:C57 B59:C59 B61:D61 B63:D63 B65:D65 B67:D67 B69:D69 B71:D71 B73:D73 B75:D75 B77:D77 B79:D79 B81:D81 B83:D83 B85:D85 B87:D87 B89:D89 B91:D91 B93:D93 B95:D95 B97:D97">
    <cfRule type="notContainsBlanks" priority="78" dxfId="1">
      <formula>LEN(TRIM(B27))&gt;0</formula>
    </cfRule>
  </conditionalFormatting>
  <conditionalFormatting sqref="U27 U29 U31 U33 U35 U37 U39 U41 U43 U45 U47 U49 U51 U53 U55 U57 U59">
    <cfRule type="notContainsBlanks" priority="88" dxfId="1">
      <formula>LEN(TRIM(U27))&gt;0</formula>
    </cfRule>
  </conditionalFormatting>
  <conditionalFormatting sqref="P27 P29 P31 P33 P35 P37 P39 P41 P43 P45 P47 P49 P51 P53 P55 P57 P59">
    <cfRule type="notContainsBlanks" priority="77" dxfId="1">
      <formula>LEN(TRIM(P27))&gt;0</formula>
    </cfRule>
  </conditionalFormatting>
  <conditionalFormatting sqref="P26:P60">
    <cfRule type="iconSet" priority="56">
      <iconSet iconSet="3Arrows">
        <cfvo type="percent" val="0"/>
        <cfvo type="num" val="100"/>
        <cfvo gte="0" type="num" val="100"/>
      </iconSet>
    </cfRule>
  </conditionalFormatting>
  <conditionalFormatting sqref="AH27 AH29 AH31 AH33 AH35 AH37 AH39 AH41 AH43 AH45 AH47 AH49 AH51 AH53 AH55 AH57 AH59">
    <cfRule type="notContainsBlanks" priority="89" dxfId="1">
      <formula>LEN(TRIM(AH27))&gt;0</formula>
    </cfRule>
  </conditionalFormatting>
  <conditionalFormatting sqref="AH26:AH60">
    <cfRule type="iconSet" priority="52">
      <iconSet iconSet="3Arrows">
        <cfvo type="percent" val="0"/>
        <cfvo type="num" val="100"/>
        <cfvo gte="0" type="num" val="100"/>
      </iconSet>
    </cfRule>
  </conditionalFormatting>
  <conditionalFormatting sqref="AO29 AO31 AO33 AO35 AO37 AO39 AO41 AO43 AO45 AO47 AO49 AO51 AO53 AO55 AO57 AO59">
    <cfRule type="notContainsBlanks" priority="92" dxfId="1">
      <formula>LEN(TRIM(AO29))&gt;0</formula>
    </cfRule>
  </conditionalFormatting>
  <conditionalFormatting sqref="AP27">
    <cfRule type="notContainsBlanks" priority="76" dxfId="1">
      <formula>LEN(TRIM(AP27))&gt;0</formula>
    </cfRule>
  </conditionalFormatting>
  <conditionalFormatting sqref="AO27">
    <cfRule type="notContainsBlanks" priority="75" dxfId="1">
      <formula>LEN(TRIM(AO27))&gt;0</formula>
    </cfRule>
  </conditionalFormatting>
  <conditionalFormatting sqref="AO25">
    <cfRule type="notContainsBlanks" priority="93" dxfId="0">
      <formula>LEN(TRIM(AO25))&gt;0</formula>
    </cfRule>
  </conditionalFormatting>
  <conditionalFormatting sqref="AR61 AT61 AV61 AX61 AZ61 BB61 AR63 AT63 AV63 AX63 AZ63 BB63 AR65 AT65 AV65 AX65 AZ65 BB65 AR67 AT67 AV67 AX67 AZ67 BB67 AR69 AT69 AV69 AX69 AZ69 BB69 AR71 AT71 AV71 AX71 AZ71 BB71 AR73 AT73 AV73 AX73 AZ73 BB73 AR75 AT75 AV75 AX75 AZ75 BB75 AR77 AT77 AV77 AX77 AZ77 BB77 AR79 AT79 AV79 AX79 AZ79 BB79 AR81 AT81 AV81 AX81 AZ81 BB81 AR83 AT83 AV83 AX83 AZ83 BB83 AR85 AT85 AV85 AX85 AZ85 BB85 AR87 AT87 AV87 AX87 AZ87 BB87 AR89 AT89 AV89 AX89 AZ89 BB89 AR91 AT91 AV91 AX91 AZ91 BB91 AR93 AT93 AV93 AX93 AZ93 BB93 AR95 AT95 AV95 AX95 AZ95 BB95 AR97 AT97 AV97 AX97 AZ97 BB97">
    <cfRule type="notContainsBlanks" priority="91" dxfId="1">
      <formula>LEN(TRIM(AR61))&gt;0</formula>
    </cfRule>
  </conditionalFormatting>
  <conditionalFormatting sqref="AQ61 AS61 AU61 AW61 AY61 BA61 AQ63 AS63 AU63 AW63 AY63 BA63 AQ65 AS65 AU65 AW65 AY65 BA65 AQ67 AS67 AU67 AW67 AY67 BA67 AQ69 AS69 AU69 AW69 AY69 BA69 AQ71 AS71 AU71 AW71 AY71 BA71 AQ73 AS73 AU73 AW73 AY73 BA73 AQ75 AS75 AU75 AW75 AY75 BA75 AQ77 AS77 AU77 AW77 AY77 BA77 AQ79 AS79 AU79 AW79 AY79 BA79 AQ81 AS81 AU81 AW81 AY81 BA81 AQ83 AS83 AU83 AW83 AY83 BA83 AQ85 AS85 AU85 AW85 AY85 BA85 AQ87 AS87 AU87 AW87 AY87 BA87 AQ89 AS89 AU89 AW89 AY89 BA89 AQ91 AS91 AU91 AW91 AY91 BA91 AQ93 AS93 AU93 AW93 AY93 BA93 AQ95 AS95 AU95 AW95 AY95 BA95 AQ97 AS97 AU97 AW97 AY97 BA97">
    <cfRule type="notContainsBlanks" priority="74" dxfId="1">
      <formula>LEN(TRIM(AQ61))&gt;0</formula>
    </cfRule>
  </conditionalFormatting>
  <conditionalFormatting sqref="AQ29 AS29 AU29 AW29 AY29 BA29 AQ31 AS31 AU31 AW31 AY31 BA31 AQ33 AS33 AU33 AW33 AY33 BA33 AQ35 AS35 AU35 AW35 AY35 BA35 AQ37 AS37 AU37 AW37 AY37 BA37 AQ39 AS39 AU39 AW39 AY39 BA39 AQ41 AS41 AU41 AW41 AY41 BA41 AQ43 AS43 AU43 AW43 AY43 BA43 AQ45 AS45 AU45 AW45 AY45 BA45 AQ47 AS47 AU47 AW47 AY47 BA47 AQ49 AS49 AU49 AW49 AY49 BA49 AQ51 AS51 AU51 AW51 AY51 BA51 AQ53 AS53 AU53 AW53 AY53 BA53 AQ55 AS55 AU55 AW55 AY55 BA55 AQ57 AS57 AU57 AW57 AY57 BA57 AQ59 AS59 AU59 AW59 AY59 BA59">
    <cfRule type="notContainsBlanks" priority="90" dxfId="1">
      <formula>LEN(TRIM(AQ29))&gt;0</formula>
    </cfRule>
  </conditionalFormatting>
  <conditionalFormatting sqref="AR27 AT27 AV27 AX27 AZ27 BB27">
    <cfRule type="notContainsBlanks" priority="73" dxfId="1">
      <formula>LEN(TRIM(AR27))&gt;0</formula>
    </cfRule>
  </conditionalFormatting>
  <conditionalFormatting sqref="AQ27 AS27 AU27 AW27 AY27 BA27">
    <cfRule type="notContainsBlanks" priority="72" dxfId="1">
      <formula>LEN(TRIM(AQ27))&gt;0</formula>
    </cfRule>
  </conditionalFormatting>
  <conditionalFormatting sqref="AQ25 AS25 AU25 AW25 AY25 BA25">
    <cfRule type="notContainsBlanks" priority="94" dxfId="0">
      <formula>LEN(TRIM(AQ25))&gt;0</formula>
    </cfRule>
  </conditionalFormatting>
  <conditionalFormatting sqref="BD61 BD63 BD65 BD67 BD69 BD71 BD73 BD75 BD77 BD79 BD81 BD83 BD85 BD87 BD89 BD91 BD93 BD95 BD97">
    <cfRule type="notContainsBlanks" priority="24" dxfId="1">
      <formula>LEN(TRIM(BD61))&gt;0</formula>
    </cfRule>
  </conditionalFormatting>
  <conditionalFormatting sqref="BC29 BC31 BC33 BC35 BC37 BC39 BC41 BC43 BC45 BC47 BC49 BC51 BC53 BC55 BC57 BC59">
    <cfRule type="notContainsBlanks" priority="18" dxfId="1">
      <formula>LEN(TRIM(BC29))&gt;0</formula>
    </cfRule>
  </conditionalFormatting>
  <conditionalFormatting sqref="BD27">
    <cfRule type="notContainsBlanks" priority="21" dxfId="1">
      <formula>LEN(TRIM(BD27))&gt;0</formula>
    </cfRule>
  </conditionalFormatting>
  <conditionalFormatting sqref="BC27">
    <cfRule type="notContainsBlanks" priority="16" dxfId="1">
      <formula>LEN(TRIM(BC27))&gt;0</formula>
    </cfRule>
  </conditionalFormatting>
  <conditionalFormatting sqref="BC61 BC63 BC65 BC67 BC69 BC71 BC73 BC75 BC77 BC79 BC81 BC83 BC85 BC87 BC89 BC91 BC93 BC95 BC97">
    <cfRule type="notContainsBlanks" priority="17" dxfId="1">
      <formula>LEN(TRIM(BC61))&gt;0</formula>
    </cfRule>
  </conditionalFormatting>
  <conditionalFormatting sqref="BC25">
    <cfRule type="notContainsBlanks" priority="19" dxfId="0">
      <formula>LEN(TRIM(BC25))&gt;0</formula>
    </cfRule>
  </conditionalFormatting>
  <conditionalFormatting sqref="BE29 BE31 BE33 BE35 BE37 BE39 BE41 BE43 BE45 BE47 BE49 BE51 BE53 BE55 BE57 BE59">
    <cfRule type="notContainsBlanks" priority="14" dxfId="1">
      <formula>LEN(TRIM(BE29))&gt;0</formula>
    </cfRule>
  </conditionalFormatting>
  <conditionalFormatting sqref="BE27">
    <cfRule type="notContainsBlanks" priority="12" dxfId="1">
      <formula>LEN(TRIM(BE27))&gt;0</formula>
    </cfRule>
  </conditionalFormatting>
  <conditionalFormatting sqref="BE61 BE63 BE65 BE67 BE69 BE71 BE73 BE75 BE77 BE79 BE81 BE83 BE85 BE87 BE89 BE91 BE93 BE95 BE97">
    <cfRule type="notContainsBlanks" priority="13" dxfId="1">
      <formula>LEN(TRIM(BE61))&gt;0</formula>
    </cfRule>
  </conditionalFormatting>
  <conditionalFormatting sqref="BE25">
    <cfRule type="notContainsBlanks" priority="15" dxfId="0">
      <formula>LEN(TRIM(BE25))&gt;0</formula>
    </cfRule>
  </conditionalFormatting>
  <conditionalFormatting sqref="BF61 BF63 BF65 BF67 BF69 BF71 BF73 BF75 BF77 BF79 BF81 BF83 BF85 BF87 BF89 BF91 BF93 BF95 BF97">
    <cfRule type="notContainsBlanks" priority="11" dxfId="1">
      <formula>LEN(TRIM(BF61))&gt;0</formula>
    </cfRule>
  </conditionalFormatting>
  <conditionalFormatting sqref="BF27">
    <cfRule type="notContainsBlanks" priority="10" dxfId="1">
      <formula>LEN(TRIM(BF27))&gt;0</formula>
    </cfRule>
  </conditionalFormatting>
  <conditionalFormatting sqref="BG61 BG63 BG65 BG67 BG69 BG71 BG73 BG75 BG77 BG79 BG81 BG83 BG85 BG87 BG89 BG91 BG93 BG95 BG97">
    <cfRule type="notContainsBlanks" priority="3" dxfId="1">
      <formula>LEN(TRIM(BG61))&gt;0</formula>
    </cfRule>
  </conditionalFormatting>
  <conditionalFormatting sqref="H27 H29 H31 H33 H35 H37 H39 H41 H43 H45 H47 H49 H51 H53 H55 H57 H59">
    <cfRule type="notContainsBlanks" priority="1" dxfId="1">
      <formula>LEN(TRIM(H27))&gt;0</formula>
    </cfRule>
  </conditionalFormatting>
  <conditionalFormatting sqref="BG27">
    <cfRule type="notContainsBlanks" priority="2" dxfId="1">
      <formula>LEN(TRIM(BG27))&gt;0</formula>
    </cfRule>
  </conditionalFormatting>
  <conditionalFormatting sqref="BG29 BG31 BG33 BG35 BG37 BG39 BG41 BG43 BG45 BG47 BG49 BG51 BG53 BG55 BG57 BG59">
    <cfRule type="notContainsBlanks" priority="4" dxfId="1">
      <formula>LEN(TRIM(BG29))&gt;0</formula>
    </cfRule>
  </conditionalFormatting>
  <conditionalFormatting sqref="BG25">
    <cfRule type="notContainsBlanks" priority="5" dxfId="0">
      <formula>LEN(TRIM(BG25))&gt;0</formula>
    </cfRule>
  </conditionalFormatting>
  <printOptions/>
  <pageMargins left="0.7" right="0.7" top="0.75" bottom="0.75" header="0.3" footer="0.3"/>
  <pageSetup horizontalDpi="600" verticalDpi="600" orientation="landscape" paperSize="9" r:id="rId7"/>
  <ignoredErrors>
    <ignoredError sqref="J16:M16 Q16:T16 W16:AK16 J21:AK21 V16" numberStoredAsText="1"/>
  </ignoredErrors>
  <drawing r:id="rId3"/>
  <legacyDrawing r:id="rId2"/>
  <extLst>
    <ext xmlns:x14="http://schemas.microsoft.com/office/spreadsheetml/2009/9/main" uri="{05C60535-1F16-4fd2-B633-F4F36F0B64E0}">
      <x14:sparklineGroups xmlns:xm="http://schemas.microsoft.com/office/excel/2006/main">
        <x14:sparklineGroup manualMin="1" lineWeight="1" displayEmptyCellsAs="gap" markers="1" high="1" minAxisType="custom">
          <x14:colorSeries theme="3" tint="-0.499984740745262"/>
          <x14:colorNegative theme="8"/>
          <x14:colorAxis rgb="FF000000"/>
          <x14:colorMarkers theme="3" tint="-0.249977111117893"/>
          <x14:colorFirst theme="8" tint="-0.249977111117893"/>
          <x14:colorLast theme="8" tint="-0.249977111117893"/>
          <x14:colorHigh theme="6" tint="-0.499984740745262"/>
          <x14:colorLow theme="8" tint="-0.249977111117893"/>
          <x14:sparklines>
            <x14:sparkline>
              <xm:f>'Tabela PS'!AO2:AX2</xm:f>
              <xm:sqref>V26</xm:sqref>
            </x14:sparkline>
            <x14:sparkline>
              <xm:f>'Tabela PS'!AO3:AX3</xm:f>
              <xm:sqref>V27</xm:sqref>
            </x14:sparkline>
            <x14:sparkline>
              <xm:f>'Tabela PS'!AO4:AX4</xm:f>
              <xm:sqref>V28</xm:sqref>
            </x14:sparkline>
            <x14:sparkline>
              <xm:f>'Tabela PS'!AO5:AX5</xm:f>
              <xm:sqref>V29</xm:sqref>
            </x14:sparkline>
            <x14:sparkline>
              <xm:f>'Tabela PS'!AO6:AX6</xm:f>
              <xm:sqref>V30</xm:sqref>
            </x14:sparkline>
            <x14:sparkline>
              <xm:f>'Tabela PS'!AO7:AX7</xm:f>
              <xm:sqref>V31</xm:sqref>
            </x14:sparkline>
            <x14:sparkline>
              <xm:f>'Tabela PS'!AO8:AX8</xm:f>
              <xm:sqref>V32</xm:sqref>
            </x14:sparkline>
            <x14:sparkline>
              <xm:f>'Tabela PS'!AO9:AX9</xm:f>
              <xm:sqref>V33</xm:sqref>
            </x14:sparkline>
            <x14:sparkline>
              <xm:f>'Tabela PS'!AO10:AX10</xm:f>
              <xm:sqref>V34</xm:sqref>
            </x14:sparkline>
            <x14:sparkline>
              <xm:f>'Tabela PS'!AO11:AX11</xm:f>
              <xm:sqref>V35</xm:sqref>
            </x14:sparkline>
            <x14:sparkline>
              <xm:f>'Tabela PS'!AO12:AX12</xm:f>
              <xm:sqref>V36</xm:sqref>
            </x14:sparkline>
            <x14:sparkline>
              <xm:f>'Tabela PS'!AO13:AX13</xm:f>
              <xm:sqref>V37</xm:sqref>
            </x14:sparkline>
            <x14:sparkline>
              <xm:f>'Tabela PS'!AO14:AX14</xm:f>
              <xm:sqref>V38</xm:sqref>
            </x14:sparkline>
            <x14:sparkline>
              <xm:f>'Tabela PS'!AO15:AX15</xm:f>
              <xm:sqref>V39</xm:sqref>
            </x14:sparkline>
            <x14:sparkline>
              <xm:f>'Tabela PS'!AO16:AX16</xm:f>
              <xm:sqref>V40</xm:sqref>
            </x14:sparkline>
            <x14:sparkline>
              <xm:f>'Tabela PS'!AO17:AX17</xm:f>
              <xm:sqref>V41</xm:sqref>
            </x14:sparkline>
            <x14:sparkline>
              <xm:f>'Tabela PS'!AO18:AX18</xm:f>
              <xm:sqref>V42</xm:sqref>
            </x14:sparkline>
            <x14:sparkline>
              <xm:f>'Tabela PS'!AO19:AX19</xm:f>
              <xm:sqref>V43</xm:sqref>
            </x14:sparkline>
            <x14:sparkline>
              <xm:f>'Tabela PS'!AO20:AX20</xm:f>
              <xm:sqref>V44</xm:sqref>
            </x14:sparkline>
            <x14:sparkline>
              <xm:f>'Tabela PS'!AO21:AX21</xm:f>
              <xm:sqref>V45</xm:sqref>
            </x14:sparkline>
            <x14:sparkline>
              <xm:f>'Tabela PS'!AO22:AX22</xm:f>
              <xm:sqref>V46</xm:sqref>
            </x14:sparkline>
            <x14:sparkline>
              <xm:f>'Tabela PS'!AO23:AX23</xm:f>
              <xm:sqref>V47</xm:sqref>
            </x14:sparkline>
            <x14:sparkline>
              <xm:f>'Tabela PS'!AO24:AX24</xm:f>
              <xm:sqref>V48</xm:sqref>
            </x14:sparkline>
            <x14:sparkline>
              <xm:f>'Tabela PS'!AO25:AX25</xm:f>
              <xm:sqref>V49</xm:sqref>
            </x14:sparkline>
            <x14:sparkline>
              <xm:f>'Tabela PS'!AO26:AX26</xm:f>
              <xm:sqref>V50</xm:sqref>
            </x14:sparkline>
            <x14:sparkline>
              <xm:f>'Tabela PS'!AO27:AX27</xm:f>
              <xm:sqref>V51</xm:sqref>
            </x14:sparkline>
            <x14:sparkline>
              <xm:f>'Tabela PS'!AO28:AX28</xm:f>
              <xm:sqref>V52</xm:sqref>
            </x14:sparkline>
            <x14:sparkline>
              <xm:f>'Tabela PS'!AO29:AX29</xm:f>
              <xm:sqref>V53</xm:sqref>
            </x14:sparkline>
            <x14:sparkline>
              <xm:f>'Tabela PS'!AO30:AX30</xm:f>
              <xm:sqref>V54</xm:sqref>
            </x14:sparkline>
            <x14:sparkline>
              <xm:f>'Tabela PS'!AO31:AX31</xm:f>
              <xm:sqref>V55</xm:sqref>
            </x14:sparkline>
            <x14:sparkline>
              <xm:f>'Tabela PS'!AO32:AX32</xm:f>
              <xm:sqref>V56</xm:sqref>
            </x14:sparkline>
            <x14:sparkline>
              <xm:f>'Tabela PS'!AO33:AX33</xm:f>
              <xm:sqref>V57</xm:sqref>
            </x14:sparkline>
            <x14:sparkline>
              <xm:f>'Tabela PS'!AO34:AX34</xm:f>
              <xm:sqref>V58</xm:sqref>
            </x14:sparkline>
            <x14:sparkline>
              <xm:f>'Tabela PS'!AO35:AX35</xm:f>
              <xm:sqref>V59</xm:sqref>
            </x14:sparkline>
            <x14:sparkline>
              <xm:f>'Tabela PS'!AO36:AX36</xm:f>
              <xm:sqref>V60</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CEFF"/>
  </sheetPr>
  <dimension ref="B1:AE46"/>
  <sheetViews>
    <sheetView showGridLines="0" showRowColHeaders="0" workbookViewId="0" topLeftCell="A1">
      <selection activeCell="N16" sqref="N16:W17"/>
    </sheetView>
  </sheetViews>
  <sheetFormatPr defaultColWidth="9.140625" defaultRowHeight="15"/>
  <cols>
    <col min="1" max="1" width="1.57421875" style="107" customWidth="1"/>
    <col min="2" max="2" width="0.85546875" style="107" customWidth="1"/>
    <col min="3" max="10" width="10.57421875" style="107" customWidth="1"/>
    <col min="11" max="12" width="0.42578125" style="107" customWidth="1"/>
    <col min="13" max="13" width="0.9921875" style="107" customWidth="1"/>
    <col min="14" max="21" width="7.00390625" style="107" customWidth="1"/>
    <col min="22" max="22" width="0.5625" style="107" customWidth="1"/>
    <col min="23" max="23" width="23.00390625" style="107" customWidth="1"/>
    <col min="24" max="24" width="1.1484375" style="107" customWidth="1"/>
    <col min="25" max="25" width="0.85546875" style="107" customWidth="1"/>
    <col min="26" max="26" width="1.421875" style="107" customWidth="1"/>
    <col min="27" max="27" width="2.57421875" style="107" customWidth="1"/>
    <col min="28" max="30" width="10.421875" style="107" customWidth="1"/>
    <col min="31" max="16384" width="9.140625" style="107" customWidth="1"/>
  </cols>
  <sheetData>
    <row r="1" spans="2:3" s="116" customFormat="1" ht="4.5" customHeight="1">
      <c r="B1" s="111"/>
      <c r="C1" s="112"/>
    </row>
    <row r="2" ht="6" customHeight="1"/>
    <row r="3" spans="3:24" ht="39.75" customHeight="1">
      <c r="C3" s="416" t="s">
        <v>4582</v>
      </c>
      <c r="D3" s="416"/>
      <c r="E3" s="416"/>
      <c r="F3" s="416"/>
      <c r="G3" s="416"/>
      <c r="H3" s="416"/>
      <c r="I3" s="416"/>
      <c r="J3" s="416"/>
      <c r="K3" s="416"/>
      <c r="L3" s="416"/>
      <c r="M3" s="416"/>
      <c r="N3" s="416"/>
      <c r="O3" s="416"/>
      <c r="P3" s="416"/>
      <c r="Q3" s="416"/>
      <c r="R3" s="416"/>
      <c r="S3" s="416"/>
      <c r="T3" s="416"/>
      <c r="U3" s="416"/>
      <c r="V3" s="416"/>
      <c r="W3" s="416"/>
      <c r="X3" s="277"/>
    </row>
    <row r="4" spans="3:21" ht="16.35" customHeight="1">
      <c r="C4" s="139" t="s">
        <v>4604</v>
      </c>
      <c r="D4" s="278"/>
      <c r="E4" s="278"/>
      <c r="F4" s="278"/>
      <c r="G4" s="278"/>
      <c r="H4" s="278"/>
      <c r="I4" s="278"/>
      <c r="J4" s="278"/>
      <c r="K4" s="278"/>
      <c r="L4" s="278"/>
      <c r="M4" s="278"/>
      <c r="N4" s="278"/>
      <c r="O4" s="278"/>
      <c r="P4" s="278"/>
      <c r="Q4" s="278"/>
      <c r="R4" s="278"/>
      <c r="S4" s="415"/>
      <c r="T4" s="415"/>
      <c r="U4" s="415"/>
    </row>
    <row r="5" spans="13:25" ht="21" customHeight="1">
      <c r="M5" s="224"/>
      <c r="N5" s="224"/>
      <c r="O5" s="224"/>
      <c r="P5" s="224"/>
      <c r="Q5" s="224"/>
      <c r="R5" s="224"/>
      <c r="S5" s="224"/>
      <c r="X5" s="150"/>
      <c r="Y5" s="184"/>
    </row>
    <row r="6" spans="13:25" ht="8.25" customHeight="1" thickBot="1">
      <c r="M6" s="224"/>
      <c r="N6" s="224"/>
      <c r="O6" s="224"/>
      <c r="P6" s="224"/>
      <c r="Q6" s="224"/>
      <c r="R6" s="224"/>
      <c r="S6" s="224"/>
      <c r="T6" s="306"/>
      <c r="U6" s="306"/>
      <c r="V6" s="306"/>
      <c r="W6" s="306"/>
      <c r="X6" s="150"/>
      <c r="Y6" s="184"/>
    </row>
    <row r="7" spans="3:25" ht="11.25" customHeight="1">
      <c r="C7" s="429" t="s">
        <v>4563</v>
      </c>
      <c r="D7" s="429"/>
      <c r="E7" s="429"/>
      <c r="F7" s="429"/>
      <c r="G7" s="429"/>
      <c r="H7" s="429"/>
      <c r="I7" s="429"/>
      <c r="J7" s="429"/>
      <c r="K7" s="429"/>
      <c r="L7" s="429"/>
      <c r="M7" s="429"/>
      <c r="N7" s="429"/>
      <c r="O7" s="429"/>
      <c r="P7" s="429"/>
      <c r="Q7" s="429"/>
      <c r="R7" s="429" t="s">
        <v>4564</v>
      </c>
      <c r="S7" s="429"/>
      <c r="T7" s="429"/>
      <c r="U7" s="429"/>
      <c r="V7" s="429"/>
      <c r="W7" s="429"/>
      <c r="X7" s="429"/>
      <c r="Y7" s="184"/>
    </row>
    <row r="8" spans="3:24" ht="36.75" customHeight="1" thickBot="1">
      <c r="C8" s="428" t="str">
        <f>'Rob Inne'!A21</f>
        <v>Granulki, odłamki i proszek kamienny (trawertyn, ekausyna, granit, porfir, bazalt, piaskowiec i pozostałe )</v>
      </c>
      <c r="D8" s="428"/>
      <c r="E8" s="428"/>
      <c r="F8" s="428"/>
      <c r="G8" s="428"/>
      <c r="H8" s="428"/>
      <c r="I8" s="428"/>
      <c r="J8" s="428"/>
      <c r="K8" s="428"/>
      <c r="L8" s="428"/>
      <c r="M8" s="428"/>
      <c r="N8" s="428"/>
      <c r="O8" s="428"/>
      <c r="P8" s="428"/>
      <c r="Q8" s="428"/>
      <c r="R8" s="430" t="str">
        <f>VLOOKUP('Rob Inne'!A22,'Słownik PW'!AM:AN,2,1)</f>
        <v xml:space="preserve">tona </v>
      </c>
      <c r="S8" s="430"/>
      <c r="T8" s="430"/>
      <c r="U8" s="430"/>
      <c r="V8" s="430"/>
      <c r="W8" s="430"/>
      <c r="X8" s="430"/>
    </row>
    <row r="9" spans="3:24" ht="5.25" customHeight="1" thickBot="1">
      <c r="C9" s="307"/>
      <c r="D9" s="307"/>
      <c r="E9" s="307"/>
      <c r="F9" s="307"/>
      <c r="G9" s="307"/>
      <c r="H9" s="307"/>
      <c r="I9" s="307"/>
      <c r="J9" s="307"/>
      <c r="K9" s="307"/>
      <c r="L9" s="307"/>
      <c r="M9" s="307"/>
      <c r="N9" s="307"/>
      <c r="O9" s="307"/>
      <c r="P9" s="307"/>
      <c r="Q9" s="307"/>
      <c r="R9" s="307"/>
      <c r="S9" s="308"/>
      <c r="T9" s="308"/>
      <c r="U9" s="308"/>
      <c r="V9" s="308"/>
      <c r="W9" s="308"/>
      <c r="X9" s="308"/>
    </row>
    <row r="10" spans="3:31" s="279" customFormat="1" ht="6" customHeight="1" thickTop="1">
      <c r="C10" s="294"/>
      <c r="D10" s="295"/>
      <c r="E10" s="295"/>
      <c r="F10" s="295"/>
      <c r="G10" s="295"/>
      <c r="H10" s="295"/>
      <c r="I10" s="295"/>
      <c r="J10" s="295"/>
      <c r="K10" s="295"/>
      <c r="L10" s="295"/>
      <c r="M10" s="295"/>
      <c r="N10" s="295"/>
      <c r="O10" s="295"/>
      <c r="P10" s="295"/>
      <c r="Q10" s="295"/>
      <c r="R10" s="295"/>
      <c r="S10" s="295"/>
      <c r="T10" s="295"/>
      <c r="U10" s="295"/>
      <c r="V10" s="295"/>
      <c r="W10" s="295"/>
      <c r="X10" s="297"/>
      <c r="AB10" s="107"/>
      <c r="AC10" s="107"/>
      <c r="AD10" s="107"/>
      <c r="AE10" s="107"/>
    </row>
    <row r="11" spans="3:31" s="279" customFormat="1" ht="30" customHeight="1">
      <c r="C11" s="417" t="s">
        <v>4583</v>
      </c>
      <c r="D11" s="418"/>
      <c r="E11" s="418"/>
      <c r="F11" s="418"/>
      <c r="G11" s="418"/>
      <c r="H11" s="418"/>
      <c r="I11" s="418"/>
      <c r="J11" s="418"/>
      <c r="K11" s="150"/>
      <c r="L11" s="107"/>
      <c r="M11" s="280"/>
      <c r="N11" s="418" t="s">
        <v>4584</v>
      </c>
      <c r="O11" s="418"/>
      <c r="P11" s="418"/>
      <c r="Q11" s="418"/>
      <c r="R11" s="418"/>
      <c r="S11" s="418"/>
      <c r="T11" s="418"/>
      <c r="U11" s="418"/>
      <c r="V11" s="418"/>
      <c r="W11" s="418"/>
      <c r="X11" s="298"/>
      <c r="AB11" s="107"/>
      <c r="AC11" s="107"/>
      <c r="AD11" s="107"/>
      <c r="AE11" s="107"/>
    </row>
    <row r="12" spans="3:31" s="279" customFormat="1" ht="24" customHeight="1">
      <c r="C12" s="419" t="s">
        <v>3698</v>
      </c>
      <c r="D12" s="420"/>
      <c r="E12" s="420"/>
      <c r="F12" s="420"/>
      <c r="G12" s="420" t="s">
        <v>4542</v>
      </c>
      <c r="H12" s="420"/>
      <c r="I12" s="420"/>
      <c r="J12" s="420"/>
      <c r="K12" s="107"/>
      <c r="L12" s="107"/>
      <c r="M12" s="280"/>
      <c r="N12" s="424" t="s">
        <v>4587</v>
      </c>
      <c r="O12" s="425"/>
      <c r="P12" s="425"/>
      <c r="Q12" s="425"/>
      <c r="R12" s="425"/>
      <c r="S12" s="425"/>
      <c r="T12" s="425"/>
      <c r="U12" s="426"/>
      <c r="W12" s="304">
        <f>'Rob Inne'!B3</f>
        <v>3418470</v>
      </c>
      <c r="X12" s="298"/>
      <c r="AB12" s="281"/>
      <c r="AC12" s="107"/>
      <c r="AD12" s="107"/>
      <c r="AE12" s="107"/>
    </row>
    <row r="13" spans="3:31" s="279" customFormat="1" ht="3.75" customHeight="1">
      <c r="C13" s="259"/>
      <c r="D13" s="107"/>
      <c r="E13" s="107"/>
      <c r="F13" s="107"/>
      <c r="G13" s="107"/>
      <c r="H13" s="107"/>
      <c r="I13" s="107"/>
      <c r="J13" s="107"/>
      <c r="K13" s="107"/>
      <c r="L13" s="107"/>
      <c r="M13" s="280"/>
      <c r="N13" s="280"/>
      <c r="O13" s="280"/>
      <c r="P13" s="280"/>
      <c r="Q13" s="280"/>
      <c r="R13" s="280"/>
      <c r="T13" s="179"/>
      <c r="W13" s="282"/>
      <c r="X13" s="298"/>
      <c r="AB13" s="107"/>
      <c r="AC13" s="107"/>
      <c r="AD13" s="107"/>
      <c r="AE13" s="107"/>
    </row>
    <row r="14" spans="3:28" ht="24" customHeight="1">
      <c r="C14" s="259"/>
      <c r="N14" s="421" t="s">
        <v>4553</v>
      </c>
      <c r="O14" s="422"/>
      <c r="P14" s="422"/>
      <c r="Q14" s="422"/>
      <c r="R14" s="422"/>
      <c r="S14" s="422"/>
      <c r="T14" s="422"/>
      <c r="U14" s="423"/>
      <c r="W14" s="305"/>
      <c r="X14" s="298"/>
      <c r="AB14" s="281"/>
    </row>
    <row r="15" spans="3:24" ht="3.75" customHeight="1">
      <c r="C15" s="259"/>
      <c r="X15" s="298"/>
    </row>
    <row r="16" spans="3:24" ht="30" customHeight="1">
      <c r="C16" s="259"/>
      <c r="N16" s="427" t="str">
        <f>'Rob Inne'!B16</f>
        <v/>
      </c>
      <c r="O16" s="427"/>
      <c r="P16" s="427"/>
      <c r="Q16" s="427"/>
      <c r="R16" s="427"/>
      <c r="S16" s="427"/>
      <c r="T16" s="427"/>
      <c r="U16" s="427"/>
      <c r="V16" s="427"/>
      <c r="W16" s="427"/>
      <c r="X16" s="298"/>
    </row>
    <row r="17" spans="3:30" ht="30" customHeight="1">
      <c r="C17" s="296"/>
      <c r="D17" s="282"/>
      <c r="E17" s="282"/>
      <c r="F17" s="282"/>
      <c r="G17" s="282"/>
      <c r="H17" s="282"/>
      <c r="I17" s="282"/>
      <c r="J17" s="282"/>
      <c r="K17" s="283"/>
      <c r="N17" s="427"/>
      <c r="O17" s="427"/>
      <c r="P17" s="427"/>
      <c r="Q17" s="427"/>
      <c r="R17" s="427"/>
      <c r="S17" s="427"/>
      <c r="T17" s="427"/>
      <c r="U17" s="427"/>
      <c r="V17" s="427"/>
      <c r="W17" s="427"/>
      <c r="X17" s="298"/>
      <c r="AB17" s="284"/>
      <c r="AC17" s="284"/>
      <c r="AD17" s="284"/>
    </row>
    <row r="18" spans="3:30" ht="30" customHeight="1">
      <c r="C18" s="259"/>
      <c r="E18" s="282"/>
      <c r="F18" s="282"/>
      <c r="H18" s="282"/>
      <c r="J18" s="282"/>
      <c r="K18" s="282"/>
      <c r="X18" s="298"/>
      <c r="AB18" s="284"/>
      <c r="AC18" s="284"/>
      <c r="AD18" s="284"/>
    </row>
    <row r="19" spans="3:24" ht="30" customHeight="1">
      <c r="C19" s="259"/>
      <c r="X19" s="298"/>
    </row>
    <row r="20" spans="3:24" ht="30" customHeight="1">
      <c r="C20" s="259"/>
      <c r="W20" s="282"/>
      <c r="X20" s="298"/>
    </row>
    <row r="21" spans="3:24" ht="30" customHeight="1">
      <c r="C21" s="259"/>
      <c r="V21" s="136"/>
      <c r="W21" s="282"/>
      <c r="X21" s="299"/>
    </row>
    <row r="22" spans="3:24" ht="30" customHeight="1">
      <c r="C22" s="259"/>
      <c r="W22" s="184"/>
      <c r="X22" s="299"/>
    </row>
    <row r="23" spans="3:28" ht="6" customHeight="1" thickBot="1">
      <c r="C23" s="291"/>
      <c r="D23" s="292"/>
      <c r="E23" s="292"/>
      <c r="F23" s="292"/>
      <c r="G23" s="292"/>
      <c r="H23" s="292"/>
      <c r="I23" s="292"/>
      <c r="J23" s="292"/>
      <c r="K23" s="292"/>
      <c r="L23" s="292"/>
      <c r="M23" s="292"/>
      <c r="N23" s="292"/>
      <c r="O23" s="292"/>
      <c r="P23" s="292"/>
      <c r="Q23" s="292"/>
      <c r="R23" s="292"/>
      <c r="S23" s="292"/>
      <c r="T23" s="292"/>
      <c r="U23" s="292"/>
      <c r="V23" s="292"/>
      <c r="W23" s="292"/>
      <c r="X23" s="293"/>
      <c r="AB23" s="282"/>
    </row>
    <row r="24" ht="9" customHeight="1" thickTop="1"/>
    <row r="25" ht="6" customHeight="1"/>
    <row r="26" spans="3:24" ht="42" customHeight="1">
      <c r="C26" s="416" t="s">
        <v>4605</v>
      </c>
      <c r="D26" s="416"/>
      <c r="E26" s="416"/>
      <c r="F26" s="416"/>
      <c r="G26" s="416"/>
      <c r="H26" s="416"/>
      <c r="I26" s="416"/>
      <c r="J26" s="416"/>
      <c r="K26" s="416"/>
      <c r="L26" s="416"/>
      <c r="M26" s="416"/>
      <c r="N26" s="416"/>
      <c r="O26" s="416"/>
      <c r="P26" s="416"/>
      <c r="Q26" s="416"/>
      <c r="R26" s="416"/>
      <c r="S26" s="416"/>
      <c r="T26" s="416"/>
      <c r="U26" s="416"/>
      <c r="V26" s="416"/>
      <c r="W26" s="416"/>
      <c r="X26" s="277"/>
    </row>
    <row r="27" spans="3:24" ht="13.7" customHeight="1">
      <c r="C27" s="139" t="s">
        <v>4604</v>
      </c>
      <c r="D27" s="342"/>
      <c r="E27" s="342"/>
      <c r="F27" s="342"/>
      <c r="G27" s="342"/>
      <c r="H27" s="342"/>
      <c r="I27" s="342"/>
      <c r="J27" s="342"/>
      <c r="K27" s="342"/>
      <c r="L27" s="342"/>
      <c r="M27" s="342"/>
      <c r="N27" s="342"/>
      <c r="O27" s="342"/>
      <c r="P27" s="342"/>
      <c r="Q27" s="342"/>
      <c r="R27" s="342"/>
      <c r="S27" s="342"/>
      <c r="T27" s="342"/>
      <c r="U27" s="342"/>
      <c r="V27" s="342"/>
      <c r="W27" s="342"/>
      <c r="X27" s="277"/>
    </row>
    <row r="28" spans="2:24" s="161" customFormat="1" ht="21" customHeight="1">
      <c r="B28" s="107"/>
      <c r="P28" s="136"/>
      <c r="Q28" s="436"/>
      <c r="R28" s="436"/>
      <c r="S28" s="436"/>
      <c r="T28" s="436"/>
      <c r="U28" s="436"/>
      <c r="V28" s="436"/>
      <c r="W28" s="436"/>
      <c r="X28" s="130"/>
    </row>
    <row r="29" spans="12:24" s="161" customFormat="1" ht="8.25" customHeight="1" thickBot="1">
      <c r="L29" s="136"/>
      <c r="N29" s="107"/>
      <c r="X29" s="130"/>
    </row>
    <row r="30" spans="3:24" s="161" customFormat="1" ht="34.5" customHeight="1" thickBot="1">
      <c r="C30" s="431" t="str">
        <f>INDEX('Rob Inne'!D:D,'Rob Inne'!B14+1,1)</f>
        <v>Mięso z drobiu przetworzone i zakonserwowane - (PKWiU 10.12)</v>
      </c>
      <c r="D30" s="432"/>
      <c r="E30" s="432"/>
      <c r="F30" s="432"/>
      <c r="G30" s="432"/>
      <c r="H30" s="432"/>
      <c r="I30" s="432"/>
      <c r="J30" s="432"/>
      <c r="K30" s="432"/>
      <c r="L30" s="432"/>
      <c r="M30" s="432"/>
      <c r="N30" s="432"/>
      <c r="O30" s="432"/>
      <c r="P30" s="432"/>
      <c r="Q30" s="432"/>
      <c r="R30" s="432"/>
      <c r="S30" s="432"/>
      <c r="T30" s="432"/>
      <c r="U30" s="432"/>
      <c r="V30" s="432"/>
      <c r="W30" s="432"/>
      <c r="X30" s="433"/>
    </row>
    <row r="31" spans="3:24" s="161" customFormat="1" ht="4.5" customHeight="1" thickBot="1">
      <c r="C31" s="307"/>
      <c r="D31" s="307"/>
      <c r="E31" s="307"/>
      <c r="F31" s="307"/>
      <c r="G31" s="307"/>
      <c r="H31" s="307"/>
      <c r="I31" s="307"/>
      <c r="J31" s="307"/>
      <c r="K31" s="307"/>
      <c r="L31" s="307"/>
      <c r="M31" s="307"/>
      <c r="N31" s="307"/>
      <c r="O31" s="307"/>
      <c r="P31" s="307"/>
      <c r="Q31" s="307"/>
      <c r="R31" s="307"/>
      <c r="S31" s="307"/>
      <c r="T31" s="307"/>
      <c r="U31" s="307"/>
      <c r="V31" s="307"/>
      <c r="W31" s="307"/>
      <c r="X31" s="307"/>
    </row>
    <row r="32" spans="3:24" s="161" customFormat="1" ht="4.5" customHeight="1" thickTop="1">
      <c r="C32" s="285"/>
      <c r="D32" s="286"/>
      <c r="E32" s="286"/>
      <c r="F32" s="286"/>
      <c r="G32" s="286"/>
      <c r="H32" s="286"/>
      <c r="I32" s="286"/>
      <c r="J32" s="286"/>
      <c r="K32" s="286"/>
      <c r="L32" s="287"/>
      <c r="M32" s="286"/>
      <c r="N32" s="288"/>
      <c r="O32" s="286"/>
      <c r="P32" s="286"/>
      <c r="Q32" s="286"/>
      <c r="R32" s="286"/>
      <c r="S32" s="286"/>
      <c r="T32" s="286"/>
      <c r="U32" s="286"/>
      <c r="V32" s="286"/>
      <c r="W32" s="286"/>
      <c r="X32" s="300"/>
    </row>
    <row r="33" spans="3:24" s="161" customFormat="1" ht="40.5" customHeight="1">
      <c r="C33" s="417" t="s">
        <v>4585</v>
      </c>
      <c r="D33" s="418"/>
      <c r="E33" s="418"/>
      <c r="F33" s="418"/>
      <c r="G33" s="418"/>
      <c r="H33" s="418"/>
      <c r="I33" s="418"/>
      <c r="J33" s="418"/>
      <c r="L33" s="136"/>
      <c r="N33" s="418" t="s">
        <v>4586</v>
      </c>
      <c r="O33" s="418"/>
      <c r="P33" s="418"/>
      <c r="Q33" s="418"/>
      <c r="R33" s="418"/>
      <c r="S33" s="418"/>
      <c r="T33" s="418"/>
      <c r="U33" s="418"/>
      <c r="V33" s="418"/>
      <c r="W33" s="418"/>
      <c r="X33" s="301"/>
    </row>
    <row r="34" spans="3:24" ht="24" customHeight="1">
      <c r="C34" s="434" t="s">
        <v>3699</v>
      </c>
      <c r="D34" s="435"/>
      <c r="E34" s="435"/>
      <c r="F34" s="435"/>
      <c r="G34" s="420" t="s">
        <v>4542</v>
      </c>
      <c r="H34" s="420"/>
      <c r="I34" s="420"/>
      <c r="J34" s="420"/>
      <c r="K34" s="161"/>
      <c r="L34" s="136"/>
      <c r="N34" s="424" t="s">
        <v>4588</v>
      </c>
      <c r="O34" s="425"/>
      <c r="P34" s="425"/>
      <c r="Q34" s="425"/>
      <c r="R34" s="425"/>
      <c r="S34" s="425"/>
      <c r="T34" s="425"/>
      <c r="U34" s="426"/>
      <c r="V34" s="279"/>
      <c r="W34" s="302">
        <f>'Rob Inne'!B10</f>
        <v>19985178.4</v>
      </c>
      <c r="X34" s="301"/>
    </row>
    <row r="35" spans="3:24" ht="4.5" customHeight="1">
      <c r="C35" s="289"/>
      <c r="D35" s="161"/>
      <c r="E35" s="161"/>
      <c r="F35" s="161"/>
      <c r="G35" s="161"/>
      <c r="H35" s="161"/>
      <c r="I35" s="161"/>
      <c r="J35" s="161"/>
      <c r="K35" s="161"/>
      <c r="N35" s="279"/>
      <c r="X35" s="301"/>
    </row>
    <row r="36" spans="3:24" ht="24" customHeight="1">
      <c r="C36" s="289"/>
      <c r="D36" s="161"/>
      <c r="E36" s="161"/>
      <c r="F36" s="161"/>
      <c r="G36" s="161"/>
      <c r="H36" s="161"/>
      <c r="I36" s="161"/>
      <c r="J36" s="161"/>
      <c r="K36" s="161"/>
      <c r="N36" s="421" t="s">
        <v>4540</v>
      </c>
      <c r="O36" s="422"/>
      <c r="P36" s="422"/>
      <c r="Q36" s="422"/>
      <c r="R36" s="422"/>
      <c r="S36" s="422"/>
      <c r="T36" s="422"/>
      <c r="U36" s="423"/>
      <c r="W36" s="303">
        <v>1000000</v>
      </c>
      <c r="X36" s="301"/>
    </row>
    <row r="37" spans="3:24" ht="3.75" customHeight="1">
      <c r="C37" s="259"/>
      <c r="X37" s="301"/>
    </row>
    <row r="38" spans="3:24" ht="30" customHeight="1">
      <c r="C38" s="290"/>
      <c r="D38" s="179"/>
      <c r="E38" s="179"/>
      <c r="F38" s="179"/>
      <c r="G38" s="282"/>
      <c r="H38" s="282"/>
      <c r="I38" s="282"/>
      <c r="J38" s="282"/>
      <c r="K38" s="283"/>
      <c r="N38" s="427" t="str">
        <f>'Rob Inne'!B17</f>
        <v/>
      </c>
      <c r="O38" s="427"/>
      <c r="P38" s="427"/>
      <c r="Q38" s="427"/>
      <c r="R38" s="427"/>
      <c r="S38" s="427"/>
      <c r="T38" s="427"/>
      <c r="U38" s="427"/>
      <c r="V38" s="427"/>
      <c r="W38" s="427"/>
      <c r="X38" s="301"/>
    </row>
    <row r="39" spans="3:24" ht="30" customHeight="1">
      <c r="C39" s="259"/>
      <c r="N39" s="427"/>
      <c r="O39" s="427"/>
      <c r="P39" s="427"/>
      <c r="Q39" s="427"/>
      <c r="R39" s="427"/>
      <c r="S39" s="427"/>
      <c r="T39" s="427"/>
      <c r="U39" s="427"/>
      <c r="V39" s="427"/>
      <c r="W39" s="427"/>
      <c r="X39" s="301"/>
    </row>
    <row r="40" spans="3:24" ht="30" customHeight="1">
      <c r="C40" s="259"/>
      <c r="V40" s="161"/>
      <c r="W40" s="161"/>
      <c r="X40" s="301"/>
    </row>
    <row r="41" spans="3:24" ht="30" customHeight="1">
      <c r="C41" s="259"/>
      <c r="L41" s="224"/>
      <c r="N41" s="161"/>
      <c r="V41" s="161"/>
      <c r="W41" s="282"/>
      <c r="X41" s="301"/>
    </row>
    <row r="42" spans="3:24" ht="30" customHeight="1">
      <c r="C42" s="259"/>
      <c r="L42" s="224"/>
      <c r="N42" s="161"/>
      <c r="V42" s="161"/>
      <c r="W42" s="282"/>
      <c r="X42" s="301"/>
    </row>
    <row r="43" spans="3:24" ht="30" customHeight="1">
      <c r="C43" s="259"/>
      <c r="M43" s="161"/>
      <c r="N43" s="161"/>
      <c r="X43" s="299"/>
    </row>
    <row r="44" spans="3:24" ht="30" customHeight="1">
      <c r="C44" s="259"/>
      <c r="M44" s="161"/>
      <c r="V44" s="161"/>
      <c r="W44" s="184"/>
      <c r="X44" s="299"/>
    </row>
    <row r="45" spans="3:24" ht="6" customHeight="1">
      <c r="C45" s="259"/>
      <c r="X45" s="260"/>
    </row>
    <row r="46" spans="3:24" ht="8.25" customHeight="1" thickBot="1">
      <c r="C46" s="291"/>
      <c r="D46" s="292"/>
      <c r="E46" s="292"/>
      <c r="F46" s="292"/>
      <c r="G46" s="292"/>
      <c r="H46" s="292"/>
      <c r="I46" s="292"/>
      <c r="J46" s="292"/>
      <c r="K46" s="292"/>
      <c r="L46" s="292"/>
      <c r="M46" s="292"/>
      <c r="N46" s="292"/>
      <c r="O46" s="292"/>
      <c r="P46" s="292"/>
      <c r="Q46" s="292"/>
      <c r="R46" s="292"/>
      <c r="S46" s="292"/>
      <c r="T46" s="292"/>
      <c r="U46" s="292"/>
      <c r="V46" s="292"/>
      <c r="W46" s="292"/>
      <c r="X46" s="293"/>
    </row>
    <row r="47" ht="15.75" thickTop="1"/>
  </sheetData>
  <sheetProtection algorithmName="SHA-512" hashValue="yTSRY7WwZBiIT8J6Z0040zw+MB2Vo0Z5cxkoZfsOzT7cuT1Ewb6Mt167iBOOH+QlAL1596+BGm4bluwjQDH9Og==" saltValue="rwmv63XXtI0kvo2kirJFZg==" spinCount="100000" sheet="1" objects="1" scenarios="1"/>
  <mergeCells count="23">
    <mergeCell ref="N38:W39"/>
    <mergeCell ref="C8:Q8"/>
    <mergeCell ref="C7:Q7"/>
    <mergeCell ref="R7:X7"/>
    <mergeCell ref="R8:X8"/>
    <mergeCell ref="C33:J33"/>
    <mergeCell ref="N33:W33"/>
    <mergeCell ref="C30:X30"/>
    <mergeCell ref="C34:F34"/>
    <mergeCell ref="G34:J34"/>
    <mergeCell ref="N36:U36"/>
    <mergeCell ref="N34:U34"/>
    <mergeCell ref="Q28:W28"/>
    <mergeCell ref="S4:U4"/>
    <mergeCell ref="C3:W3"/>
    <mergeCell ref="C26:W26"/>
    <mergeCell ref="C11:J11"/>
    <mergeCell ref="N11:W11"/>
    <mergeCell ref="C12:F12"/>
    <mergeCell ref="G12:J12"/>
    <mergeCell ref="N14:U14"/>
    <mergeCell ref="N12:U12"/>
    <mergeCell ref="N16:W17"/>
  </mergeCells>
  <printOptions/>
  <pageMargins left="0.7" right="0.7" top="0.75" bottom="0.75" header="0.3" footer="0.3"/>
  <pageSetup horizontalDpi="600" verticalDpi="6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99"/>
  <sheetViews>
    <sheetView workbookViewId="0" topLeftCell="A1">
      <selection activeCell="A34" sqref="A34"/>
    </sheetView>
  </sheetViews>
  <sheetFormatPr defaultColWidth="9.140625" defaultRowHeight="15"/>
  <cols>
    <col min="1" max="1" width="10.57421875" style="4" customWidth="1"/>
    <col min="2" max="2" width="4.421875" style="5" customWidth="1"/>
    <col min="3" max="3" width="12.57421875" style="52" customWidth="1"/>
    <col min="4" max="4" width="4.8515625" style="52" customWidth="1"/>
    <col min="5" max="5" width="4.8515625" style="350" customWidth="1"/>
    <col min="6" max="6" width="4.57421875" style="52" customWidth="1"/>
    <col min="7" max="7" width="4.57421875" style="351" customWidth="1"/>
    <col min="8" max="8" width="5.421875" style="351" customWidth="1"/>
    <col min="9" max="9" width="7.421875" style="351" customWidth="1"/>
    <col min="10" max="10" width="11.00390625" style="351" customWidth="1"/>
    <col min="11" max="16" width="11.421875" style="351" bestFit="1" customWidth="1"/>
    <col min="17" max="19" width="11.421875" style="52" bestFit="1" customWidth="1"/>
    <col min="20" max="20" width="11.421875" style="52" customWidth="1"/>
    <col min="21" max="23" width="9.8515625" style="54" customWidth="1"/>
    <col min="24" max="24" width="12.421875" style="0" customWidth="1"/>
    <col min="25" max="25" width="3.57421875" style="0" bestFit="1" customWidth="1"/>
    <col min="26" max="28" width="8.8515625" style="0" customWidth="1"/>
    <col min="29" max="29" width="13.421875" style="54" customWidth="1"/>
    <col min="30" max="32" width="8.8515625" style="0" customWidth="1"/>
    <col min="33" max="38" width="9.140625" style="4" customWidth="1"/>
    <col min="39" max="45" width="10.8515625" style="4" customWidth="1"/>
    <col min="46" max="46" width="11.8515625" style="4" customWidth="1"/>
    <col min="47" max="56" width="9.140625" style="4" customWidth="1"/>
    <col min="57" max="57" width="9.8515625" style="4" customWidth="1"/>
    <col min="58" max="16384" width="9.140625" style="4" customWidth="1"/>
  </cols>
  <sheetData>
    <row r="1" spans="1:61" ht="57.6" customHeight="1">
      <c r="A1" s="352" t="s">
        <v>660</v>
      </c>
      <c r="B1" s="2" t="s">
        <v>1376</v>
      </c>
      <c r="C1" s="352" t="s">
        <v>658</v>
      </c>
      <c r="D1" s="3" t="s">
        <v>4389</v>
      </c>
      <c r="E1" s="348" t="s">
        <v>1378</v>
      </c>
      <c r="F1" s="3" t="s">
        <v>657</v>
      </c>
      <c r="G1" s="3" t="s">
        <v>1377</v>
      </c>
      <c r="H1" s="3" t="s">
        <v>706</v>
      </c>
      <c r="I1" s="3" t="s">
        <v>1379</v>
      </c>
      <c r="J1" s="352" t="s">
        <v>3313</v>
      </c>
      <c r="K1" s="353" t="s">
        <v>2718</v>
      </c>
      <c r="L1" s="353" t="s">
        <v>2719</v>
      </c>
      <c r="M1" s="353" t="s">
        <v>2720</v>
      </c>
      <c r="N1" s="353" t="s">
        <v>2721</v>
      </c>
      <c r="O1" s="353" t="s">
        <v>2722</v>
      </c>
      <c r="P1" s="353" t="s">
        <v>2723</v>
      </c>
      <c r="Q1" s="353" t="s">
        <v>4388</v>
      </c>
      <c r="R1" s="353" t="s">
        <v>4568</v>
      </c>
      <c r="S1" s="353" t="s">
        <v>4571</v>
      </c>
      <c r="T1" s="353" t="s">
        <v>4589</v>
      </c>
      <c r="U1" s="58" t="s">
        <v>4591</v>
      </c>
      <c r="V1" s="58" t="s">
        <v>4592</v>
      </c>
      <c r="W1" s="58" t="s">
        <v>4593</v>
      </c>
      <c r="X1" s="58" t="s">
        <v>4594</v>
      </c>
      <c r="Y1" s="62"/>
      <c r="Z1" s="63" t="s">
        <v>658</v>
      </c>
      <c r="AA1" s="63" t="s">
        <v>657</v>
      </c>
      <c r="AB1" s="63" t="s">
        <v>3318</v>
      </c>
      <c r="AC1" s="62">
        <v>2010</v>
      </c>
      <c r="AD1" s="62">
        <v>2011</v>
      </c>
      <c r="AE1" s="62">
        <v>2012</v>
      </c>
      <c r="AF1" s="62">
        <v>2013</v>
      </c>
      <c r="AG1" s="62">
        <v>2014</v>
      </c>
      <c r="AH1" s="62">
        <v>2015</v>
      </c>
      <c r="AI1" s="62">
        <v>2016</v>
      </c>
      <c r="AJ1" s="62">
        <v>2017</v>
      </c>
      <c r="AK1" s="62">
        <v>2018</v>
      </c>
      <c r="AL1" s="62">
        <v>2019</v>
      </c>
      <c r="AM1" s="64" t="str">
        <f>U1</f>
        <v>Minimalna roczna produkcja
w latach 2010-2019</v>
      </c>
      <c r="AN1" s="64" t="str">
        <f>V1</f>
        <v>Maksymalna roczna produkcja
w latach 2010 - 2019</v>
      </c>
      <c r="AO1" s="64" t="str">
        <f>W1</f>
        <v>Średnia produkcja
w latach 2010 - 2019</v>
      </c>
      <c r="AP1" s="64" t="str">
        <f>X1</f>
        <v>Dynamika 2019
2010 = 100</v>
      </c>
      <c r="AQ1" s="64" t="e">
        <f>#REF!</f>
        <v>#REF!</v>
      </c>
      <c r="AR1" s="64" t="e">
        <f>#REF!</f>
        <v>#REF!</v>
      </c>
      <c r="AS1" s="64" t="e">
        <f>#REF!</f>
        <v>#REF!</v>
      </c>
      <c r="AT1" s="55"/>
      <c r="AU1" s="55">
        <v>2010</v>
      </c>
      <c r="AV1" s="55">
        <v>2011</v>
      </c>
      <c r="AW1" s="55">
        <v>2012</v>
      </c>
      <c r="AX1" s="55">
        <v>2013</v>
      </c>
      <c r="AY1" s="55">
        <v>2014</v>
      </c>
      <c r="AZ1" s="55">
        <v>2015</v>
      </c>
      <c r="BA1" s="55">
        <v>2016</v>
      </c>
      <c r="BB1" s="55">
        <v>2017</v>
      </c>
      <c r="BC1" s="55">
        <v>2018</v>
      </c>
      <c r="BD1" s="55">
        <v>2019</v>
      </c>
      <c r="BE1" s="55" t="s">
        <v>4405</v>
      </c>
      <c r="BF1" s="56" t="s">
        <v>4406</v>
      </c>
      <c r="BG1" s="56" t="s">
        <v>4407</v>
      </c>
      <c r="BH1" s="56" t="s">
        <v>4593</v>
      </c>
      <c r="BI1" s="55" t="s">
        <v>4595</v>
      </c>
    </row>
    <row r="2" spans="1:61" ht="12">
      <c r="A2" s="4" t="s">
        <v>23</v>
      </c>
      <c r="B2" s="5" t="s">
        <v>661</v>
      </c>
      <c r="C2" s="49" t="s">
        <v>24</v>
      </c>
      <c r="D2" s="349">
        <f aca="true" t="shared" si="0" ref="D2:D65">LEN(C2)</f>
        <v>15</v>
      </c>
      <c r="E2" s="350" t="s">
        <v>707</v>
      </c>
      <c r="F2" s="51" t="s">
        <v>25</v>
      </c>
      <c r="G2" s="351" t="s">
        <v>683</v>
      </c>
      <c r="H2" s="351" t="s">
        <v>1380</v>
      </c>
      <c r="I2" s="351" t="s">
        <v>1381</v>
      </c>
      <c r="J2" s="351" t="s">
        <v>3700</v>
      </c>
      <c r="K2" s="354">
        <v>76727802</v>
      </c>
      <c r="L2" s="355">
        <v>76447604</v>
      </c>
      <c r="M2" s="354">
        <v>79812803</v>
      </c>
      <c r="N2" s="355">
        <v>77056152</v>
      </c>
      <c r="O2" s="355">
        <v>73270823</v>
      </c>
      <c r="P2" s="355">
        <v>72685788</v>
      </c>
      <c r="Q2" s="355">
        <v>70783909</v>
      </c>
      <c r="R2" s="355">
        <v>65975529</v>
      </c>
      <c r="S2" s="355">
        <v>63814369</v>
      </c>
      <c r="T2" s="355">
        <v>62102567</v>
      </c>
      <c r="U2" s="59">
        <f>MIN(K2:T2)</f>
        <v>62102567</v>
      </c>
      <c r="V2" s="59">
        <f>MAX(K2:T2)</f>
        <v>79812803</v>
      </c>
      <c r="W2" s="59">
        <f>AVERAGE(K2:T2)</f>
        <v>71867734.6</v>
      </c>
      <c r="X2" s="60">
        <f>_xlfn.IFERROR(T2/K2*100,"-")</f>
        <v>80.93880624913508</v>
      </c>
      <c r="Y2" s="65">
        <v>1</v>
      </c>
      <c r="Z2" s="65" t="str">
        <f>_xlfn.IFERROR(INDEX('Tabela PW'!$C:$F,'Słownik PW'!C2,1),"")</f>
        <v>Mineralne środki dla rolnictwa wapniowe i wapniowo-magnezowe (tlenkowe i węglanowe)</v>
      </c>
      <c r="AA2" s="65" t="str">
        <f>_xlfn.IFERROR(INDEX('Tabela PW'!$C:$F,'Słownik PW'!C2,4),"")</f>
        <v>t</v>
      </c>
      <c r="AB2" s="65" t="str">
        <f aca="true" t="shared" si="1" ref="AB2:AB33">IF(Z2="","",CONCATENATE(Z2," - (JM  ",AA2,")"))</f>
        <v>Mineralne środki dla rolnictwa wapniowe i wapniowo-magnezowe (tlenkowe i węglanowe) - (JM  t)</v>
      </c>
      <c r="AC2" s="65">
        <f>_xlfn.IFERROR(INDEX('Tabela PW'!$K:$K,'Słownik PW'!C2,1),"")</f>
        <v>1681895</v>
      </c>
      <c r="AD2" s="65">
        <f>_xlfn.IFERROR(INDEX('Tabela PW'!$L:$L,'Słownik PW'!C2,1),"")</f>
        <v>2140107</v>
      </c>
      <c r="AE2" s="65">
        <f>_xlfn.IFERROR(INDEX('Tabela PW'!$M:$M,'Słownik PW'!C2,1),"")</f>
        <v>1965704</v>
      </c>
      <c r="AF2" s="65">
        <f>_xlfn.IFERROR(INDEX('Tabela PW'!$N:$N,'Słownik PW'!C2,1),"")</f>
        <v>2147260</v>
      </c>
      <c r="AG2" s="65">
        <f>_xlfn.IFERROR(INDEX('Tabela PW'!$O:$O,'Słownik PW'!C2,1),"")</f>
        <v>2242172</v>
      </c>
      <c r="AH2" s="65">
        <f>_xlfn.IFERROR(INDEX('Tabela PW'!$P:$P,'Słownik PW'!C2,1),"")</f>
        <v>2390066</v>
      </c>
      <c r="AI2" s="65">
        <f>_xlfn.IFERROR(INDEX('Tabela PW'!$Q:$Q,'Słownik PW'!C2,1),"")</f>
        <v>2200343</v>
      </c>
      <c r="AJ2" s="65">
        <f>_xlfn.IFERROR(INDEX('Tabela PW'!$R:$R,'Słownik PW'!C2,1),"")</f>
        <v>2449293</v>
      </c>
      <c r="AK2" s="65">
        <f>_xlfn.IFERROR(INDEX('Tabela PW'!$S:$S,'Słownik PW'!C2,1),"")</f>
        <v>2567709</v>
      </c>
      <c r="AL2" s="65">
        <f>_xlfn.IFERROR(INDEX('Tabela PW'!$T:$T,'Słownik PW'!C2,1),"")</f>
        <v>2585122</v>
      </c>
      <c r="AM2" s="65">
        <f>_xlfn.IFERROR(INDEX('Tabela PW'!$U:$X,'Słownik PW'!C2,1),"")</f>
        <v>1681895</v>
      </c>
      <c r="AN2" s="65">
        <f>_xlfn.IFERROR(INDEX('Tabela PW'!$U:$X,'Słownik PW'!C2,2),"")</f>
        <v>2585122</v>
      </c>
      <c r="AO2" s="66">
        <f>_xlfn.IFERROR(INDEX('Tabela PW'!$U:$X,'Słownik PW'!C2,3),"")</f>
        <v>2236967.1</v>
      </c>
      <c r="AP2" s="67">
        <f>_xlfn.IFERROR(INDEX('Tabela PW'!$U:$X,'Słownik PW'!C2,4),"")</f>
        <v>153.70293627128925</v>
      </c>
      <c r="AQ2" s="66" t="str">
        <f>_xlfn.IFERROR(INDEX('Tabela PW'!$U:$X,'Słownik PW'!C2,5),"")</f>
        <v/>
      </c>
      <c r="AR2" s="67" t="str">
        <f>_xlfn.IFERROR(INDEX('Tabela PW'!$U:$X,'Słownik PW'!C2,6),"")</f>
        <v/>
      </c>
      <c r="AS2" s="67" t="str">
        <f>_xlfn.IFERROR(INDEX('Tabela PW'!$U:$X,'Słownik PW'!C2,7),"")</f>
        <v/>
      </c>
      <c r="AT2" s="57" t="str">
        <f>'Słownik PW'!A8</f>
        <v>Dolomit niekalcynowany ani niespiekany - ( t )</v>
      </c>
      <c r="AU2" s="57">
        <f>VLOOKUP($AT$2,'Tabela PW'!$J:$T,2,0)</f>
        <v>1727287</v>
      </c>
      <c r="AV2" s="57">
        <f>VLOOKUP($AT$2,'Tabela PW'!$J:$T,3,0)</f>
        <v>1794995</v>
      </c>
      <c r="AW2" s="57">
        <f>VLOOKUP($AT$2,'Tabela PW'!$J:$T,4,0)</f>
        <v>1762674</v>
      </c>
      <c r="AX2" s="57">
        <f>VLOOKUP($AT$2,'Tabela PW'!$J:$T,5,0)</f>
        <v>1864460</v>
      </c>
      <c r="AY2" s="57">
        <f>VLOOKUP($AT$2,'Tabela PW'!$J:$T,6,0)</f>
        <v>1996477</v>
      </c>
      <c r="AZ2" s="57">
        <f>VLOOKUP($AT$2,'Tabela PW'!$J:$T,7,0)</f>
        <v>3068868</v>
      </c>
      <c r="BA2" s="57">
        <f>VLOOKUP($AT$2,'Tabela PW'!$J:$T,8,0)</f>
        <v>3258268</v>
      </c>
      <c r="BB2" s="57">
        <f>VLOOKUP($AT$2,'Tabela PW'!$J:$T,9,0)</f>
        <v>2760644</v>
      </c>
      <c r="BC2" s="57">
        <f>VLOOKUP($AT$2,'Tabela PW'!$J:$T,10,0)</f>
        <v>3023640</v>
      </c>
      <c r="BD2" s="57">
        <f>VLOOKUP($AT$2,'Tabela PW'!$J:$T,11,0)</f>
        <v>3392193</v>
      </c>
      <c r="BE2" s="57">
        <f>SUM(AU2:BB2)</f>
        <v>18233673</v>
      </c>
      <c r="BF2" s="57">
        <f>MIN(AU2:BD2)</f>
        <v>1727287</v>
      </c>
      <c r="BG2" s="57">
        <f>MAX(AU2:BD2)</f>
        <v>3392193</v>
      </c>
      <c r="BH2" s="57">
        <f>AVERAGE(AU2:BD2)</f>
        <v>2464950.6</v>
      </c>
      <c r="BI2" s="57">
        <f>_xlfn.IFERROR(BD2/AU2*100,"X")</f>
        <v>196.3884982634617</v>
      </c>
    </row>
    <row r="3" spans="1:61" ht="12">
      <c r="A3" s="4" t="s">
        <v>23</v>
      </c>
      <c r="B3" s="5" t="s">
        <v>661</v>
      </c>
      <c r="C3" s="49" t="s">
        <v>24</v>
      </c>
      <c r="D3" s="349">
        <f t="shared" si="0"/>
        <v>15</v>
      </c>
      <c r="E3" s="350" t="s">
        <v>708</v>
      </c>
      <c r="F3" s="51" t="s">
        <v>4554</v>
      </c>
      <c r="G3" s="351" t="s">
        <v>701</v>
      </c>
      <c r="H3" s="351" t="s">
        <v>1382</v>
      </c>
      <c r="I3" s="351" t="s">
        <v>1383</v>
      </c>
      <c r="J3" s="351" t="s">
        <v>4555</v>
      </c>
      <c r="K3" s="354">
        <v>62406326</v>
      </c>
      <c r="L3" s="355">
        <v>61573414</v>
      </c>
      <c r="M3" s="354">
        <v>64201683</v>
      </c>
      <c r="N3" s="355">
        <v>62815243</v>
      </c>
      <c r="O3" s="355">
        <v>59830747</v>
      </c>
      <c r="P3" s="355">
        <v>59591699</v>
      </c>
      <c r="Q3" s="355">
        <v>58098104</v>
      </c>
      <c r="R3" s="355">
        <v>53404333</v>
      </c>
      <c r="S3" s="355">
        <v>52022774</v>
      </c>
      <c r="T3" s="355">
        <v>50246981</v>
      </c>
      <c r="U3" s="59">
        <f aca="true" t="shared" si="2" ref="U3:U66">MIN(K3:T3)</f>
        <v>50246981</v>
      </c>
      <c r="V3" s="59">
        <f aca="true" t="shared" si="3" ref="V3:V66">MAX(K3:T3)</f>
        <v>64201683</v>
      </c>
      <c r="W3" s="59">
        <f aca="true" t="shared" si="4" ref="W3:W66">AVERAGE(K3:T3)</f>
        <v>58419130.4</v>
      </c>
      <c r="X3" s="60">
        <f aca="true" t="shared" si="5" ref="X3:X66">_xlfn.IFERROR(T3/K3*100,"-")</f>
        <v>80.5158454609233</v>
      </c>
      <c r="Y3" s="65">
        <v>2</v>
      </c>
      <c r="Z3" s="65" t="str">
        <f>_xlfn.IFERROR(INDEX('Tabela PW'!$C:$F,'Słownik PW'!C3,1),"")</f>
        <v>Kwarcyt</v>
      </c>
      <c r="AA3" s="65" t="str">
        <f>_xlfn.IFERROR(INDEX('Tabela PW'!$C:$F,'Słownik PW'!C3,4),"")</f>
        <v>t</v>
      </c>
      <c r="AB3" s="65" t="str">
        <f t="shared" si="1"/>
        <v>Kwarcyt - (JM  t)</v>
      </c>
      <c r="AC3" s="65">
        <f>_xlfn.IFERROR(INDEX('Tabela PW'!$K:$K,'Słownik PW'!C3,1),"")</f>
        <v>34156</v>
      </c>
      <c r="AD3" s="65">
        <f>_xlfn.IFERROR(INDEX('Tabela PW'!$L:$L,'Słownik PW'!C3,1),"")</f>
        <v>46475</v>
      </c>
      <c r="AE3" s="65">
        <f>_xlfn.IFERROR(INDEX('Tabela PW'!$M:$M,'Słownik PW'!C3,1),"")</f>
        <v>53206</v>
      </c>
      <c r="AF3" s="65">
        <f>_xlfn.IFERROR(INDEX('Tabela PW'!$N:$N,'Słownik PW'!C3,1),"")</f>
        <v>88314</v>
      </c>
      <c r="AG3" s="65">
        <f>_xlfn.IFERROR(INDEX('Tabela PW'!$O:$O,'Słownik PW'!C3,1),"")</f>
        <v>82877</v>
      </c>
      <c r="AH3" s="65">
        <f>_xlfn.IFERROR(INDEX('Tabela PW'!$P:$P,'Słownik PW'!C3,1),"")</f>
        <v>54930</v>
      </c>
      <c r="AI3" s="65">
        <f>_xlfn.IFERROR(INDEX('Tabela PW'!$Q:$Q,'Słownik PW'!C3,1),"")</f>
        <v>64521</v>
      </c>
      <c r="AJ3" s="65">
        <f>_xlfn.IFERROR(INDEX('Tabela PW'!$R:$R,'Słownik PW'!C3,1),"")</f>
        <v>77458</v>
      </c>
      <c r="AK3" s="65">
        <f>_xlfn.IFERROR(INDEX('Tabela PW'!$S:$S,'Słownik PW'!C3,1),"")</f>
        <v>137794</v>
      </c>
      <c r="AL3" s="65">
        <f>_xlfn.IFERROR(INDEX('Tabela PW'!$T:$T,'Słownik PW'!C3,1),"")</f>
        <v>93916</v>
      </c>
      <c r="AM3" s="65">
        <f>_xlfn.IFERROR(INDEX('Tabela PW'!$U:$X,'Słownik PW'!C3,1),"")</f>
        <v>34156</v>
      </c>
      <c r="AN3" s="65">
        <f>_xlfn.IFERROR(INDEX('Tabela PW'!$U:$X,'Słownik PW'!C3,2),"")</f>
        <v>137794</v>
      </c>
      <c r="AO3" s="66">
        <f>_xlfn.IFERROR(INDEX('Tabela PW'!$U:$X,'Słownik PW'!C3,3),"")</f>
        <v>73364.7</v>
      </c>
      <c r="AP3" s="67">
        <f>_xlfn.IFERROR(INDEX('Tabela PW'!$U:$X,'Słownik PW'!C3,4),"")</f>
        <v>274.9619393371589</v>
      </c>
      <c r="AQ3" s="66" t="str">
        <f>_xlfn.IFERROR(INDEX('Tabela PW'!$U:$X,'Słownik PW'!C3,5),"")</f>
        <v/>
      </c>
      <c r="AR3" s="67" t="str">
        <f>_xlfn.IFERROR(INDEX('Tabela PW'!$U:$X,'Słownik PW'!C3,6),"")</f>
        <v/>
      </c>
      <c r="AS3" s="67" t="str">
        <f>_xlfn.IFERROR(INDEX('Tabela PW'!$U:$X,'Słownik PW'!C3,7),"")</f>
        <v/>
      </c>
      <c r="AT3" s="65">
        <f>AU2</f>
        <v>1727287</v>
      </c>
      <c r="AU3" s="65" t="str">
        <f>BI1</f>
        <v>Dynamika produkcji w 2019
2010 = 100</v>
      </c>
      <c r="AV3" s="65">
        <v>2011</v>
      </c>
      <c r="AW3" s="65">
        <v>2012</v>
      </c>
      <c r="AX3" s="65">
        <v>2013</v>
      </c>
      <c r="AY3" s="65">
        <v>2014</v>
      </c>
      <c r="AZ3" s="65">
        <v>2015</v>
      </c>
      <c r="BA3" s="65">
        <v>2016</v>
      </c>
      <c r="BB3" s="65">
        <v>2017</v>
      </c>
      <c r="BC3" s="65">
        <v>2018</v>
      </c>
      <c r="BD3" s="65">
        <v>2019</v>
      </c>
      <c r="BE3" s="65">
        <f>AU1</f>
        <v>2010</v>
      </c>
      <c r="BF3" s="65">
        <f>VLOOKUP(BF2,$AT$3:$BE$12,12,0)</f>
        <v>2010</v>
      </c>
      <c r="BG3" s="65">
        <f>VLOOKUP(BG2,$AT$3:$BE$12,12,0)</f>
        <v>2019</v>
      </c>
      <c r="BH3" s="65"/>
      <c r="BI3" s="65"/>
    </row>
    <row r="4" spans="1:61" ht="15">
      <c r="A4" s="4" t="s">
        <v>23</v>
      </c>
      <c r="B4" s="5" t="s">
        <v>661</v>
      </c>
      <c r="C4" s="49" t="s">
        <v>26</v>
      </c>
      <c r="D4" s="349">
        <f t="shared" si="0"/>
        <v>19</v>
      </c>
      <c r="E4" s="350" t="s">
        <v>709</v>
      </c>
      <c r="F4" s="51" t="s">
        <v>25</v>
      </c>
      <c r="G4" s="351" t="s">
        <v>683</v>
      </c>
      <c r="H4" s="351" t="s">
        <v>1384</v>
      </c>
      <c r="I4" s="351" t="s">
        <v>1385</v>
      </c>
      <c r="J4" s="351" t="s">
        <v>3702</v>
      </c>
      <c r="K4" s="354">
        <v>65069771</v>
      </c>
      <c r="L4" s="355">
        <v>65012029</v>
      </c>
      <c r="M4" s="354">
        <v>68074912</v>
      </c>
      <c r="N4" s="355">
        <v>64940534</v>
      </c>
      <c r="O4" s="355">
        <v>60982662</v>
      </c>
      <c r="P4" s="355">
        <v>59701111</v>
      </c>
      <c r="Q4" s="355">
        <v>57579531</v>
      </c>
      <c r="R4" s="355">
        <v>53493439</v>
      </c>
      <c r="S4" s="355">
        <v>51766917</v>
      </c>
      <c r="T4" s="355">
        <v>50031350</v>
      </c>
      <c r="U4" s="59">
        <f t="shared" si="2"/>
        <v>50031350</v>
      </c>
      <c r="V4" s="59">
        <f t="shared" si="3"/>
        <v>68074912</v>
      </c>
      <c r="W4" s="59">
        <f t="shared" si="4"/>
        <v>59665225.6</v>
      </c>
      <c r="X4" s="60">
        <f t="shared" si="5"/>
        <v>76.88877528092115</v>
      </c>
      <c r="Y4" s="65">
        <v>3</v>
      </c>
      <c r="Z4" s="65" t="str">
        <f>_xlfn.IFERROR(INDEX('Tabela PW'!$C:$F,'Słownik PW'!C4,1),"")</f>
        <v>Gips i anhydryt</v>
      </c>
      <c r="AA4" s="65" t="str">
        <f>_xlfn.IFERROR(INDEX('Tabela PW'!$C:$F,'Słownik PW'!C4,4),"")</f>
        <v>t</v>
      </c>
      <c r="AB4" s="65" t="str">
        <f t="shared" si="1"/>
        <v>Gips i anhydryt - (JM  t)</v>
      </c>
      <c r="AC4" s="65">
        <f>_xlfn.IFERROR(INDEX('Tabela PW'!$K:$K,'Słownik PW'!C4,1),"")</f>
        <v>1241221</v>
      </c>
      <c r="AD4" s="65">
        <f>_xlfn.IFERROR(INDEX('Tabela PW'!$L:$L,'Słownik PW'!C4,1),"")</f>
        <v>1418271</v>
      </c>
      <c r="AE4" s="65">
        <f>_xlfn.IFERROR(INDEX('Tabela PW'!$M:$M,'Słownik PW'!C4,1),"")</f>
        <v>1395403</v>
      </c>
      <c r="AF4" s="65">
        <f>_xlfn.IFERROR(INDEX('Tabela PW'!$N:$N,'Słownik PW'!C4,1),"")</f>
        <v>1188969</v>
      </c>
      <c r="AG4" s="65">
        <f>_xlfn.IFERROR(INDEX('Tabela PW'!$O:$O,'Słownik PW'!C4,1),"")</f>
        <v>1151150</v>
      </c>
      <c r="AH4" s="65">
        <f>_xlfn.IFERROR(INDEX('Tabela PW'!$P:$P,'Słownik PW'!C4,1),"")</f>
        <v>1099081</v>
      </c>
      <c r="AI4" s="65">
        <f>_xlfn.IFERROR(INDEX('Tabela PW'!$Q:$Q,'Słownik PW'!C4,1),"")</f>
        <v>1118484</v>
      </c>
      <c r="AJ4" s="65">
        <f>_xlfn.IFERROR(INDEX('Tabela PW'!$R:$R,'Słownik PW'!C4,1),"")</f>
        <v>1182379</v>
      </c>
      <c r="AK4" s="65">
        <f>_xlfn.IFERROR(INDEX('Tabela PW'!$S:$S,'Słownik PW'!C4,1),"")</f>
        <v>1120344</v>
      </c>
      <c r="AL4" s="65">
        <f>_xlfn.IFERROR(INDEX('Tabela PW'!$T:$T,'Słownik PW'!C4,1),"")</f>
        <v>1150495</v>
      </c>
      <c r="AM4" s="65">
        <f>_xlfn.IFERROR(INDEX('Tabela PW'!$U:$X,'Słownik PW'!C4,1),"")</f>
        <v>1099081</v>
      </c>
      <c r="AN4" s="65">
        <f>_xlfn.IFERROR(INDEX('Tabela PW'!$U:$X,'Słownik PW'!C4,2),"")</f>
        <v>1418271</v>
      </c>
      <c r="AO4" s="66">
        <f>_xlfn.IFERROR(INDEX('Tabela PW'!$U:$X,'Słownik PW'!C4,3),"")</f>
        <v>1206579.7</v>
      </c>
      <c r="AP4" s="67">
        <f>_xlfn.IFERROR(INDEX('Tabela PW'!$U:$X,'Słownik PW'!C4,4),"")</f>
        <v>92.69058451315277</v>
      </c>
      <c r="AQ4" s="66" t="str">
        <f>_xlfn.IFERROR(INDEX('Tabela PW'!$U:$X,'Słownik PW'!C4,5),"")</f>
        <v/>
      </c>
      <c r="AR4" s="67" t="str">
        <f>_xlfn.IFERROR(INDEX('Tabela PW'!$U:$X,'Słownik PW'!C4,6),"")</f>
        <v/>
      </c>
      <c r="AS4" s="67" t="str">
        <f>_xlfn.IFERROR(INDEX('Tabela PW'!$U:$X,'Słownik PW'!C4,7),"")</f>
        <v/>
      </c>
      <c r="AT4" s="65">
        <f>AV2</f>
        <v>1794995</v>
      </c>
      <c r="AU4" s="65">
        <f>BI2</f>
        <v>196.3884982634617</v>
      </c>
      <c r="AV4" s="67">
        <f>_xlfn.IFERROR(AV2/AU2*100,"")</f>
        <v>103.91990445131584</v>
      </c>
      <c r="AW4" s="67">
        <f aca="true" t="shared" si="6" ref="AW4:BD4">_xlfn.IFERROR(AW2/AV2*100,"")</f>
        <v>98.19938217098098</v>
      </c>
      <c r="AX4" s="67">
        <f t="shared" si="6"/>
        <v>105.77452211810012</v>
      </c>
      <c r="AY4" s="67">
        <f t="shared" si="6"/>
        <v>107.08070969610503</v>
      </c>
      <c r="AZ4" s="67">
        <f t="shared" si="6"/>
        <v>153.71416750606193</v>
      </c>
      <c r="BA4" s="67">
        <f t="shared" si="6"/>
        <v>106.1716567802851</v>
      </c>
      <c r="BB4" s="67">
        <f t="shared" si="6"/>
        <v>84.72734593962191</v>
      </c>
      <c r="BC4" s="67">
        <f t="shared" si="6"/>
        <v>109.5266177022463</v>
      </c>
      <c r="BD4" s="67">
        <f t="shared" si="6"/>
        <v>112.18905028376393</v>
      </c>
      <c r="BE4" s="65">
        <v>2011</v>
      </c>
      <c r="BF4" s="65"/>
      <c r="BG4" s="64"/>
      <c r="BH4" s="68"/>
      <c r="BI4" s="65"/>
    </row>
    <row r="5" spans="1:61" ht="15">
      <c r="A5" s="4" t="s">
        <v>23</v>
      </c>
      <c r="B5" s="5" t="s">
        <v>661</v>
      </c>
      <c r="C5" s="49" t="s">
        <v>26</v>
      </c>
      <c r="D5" s="349">
        <f t="shared" si="0"/>
        <v>19</v>
      </c>
      <c r="E5" s="350" t="s">
        <v>710</v>
      </c>
      <c r="F5" s="51" t="s">
        <v>4554</v>
      </c>
      <c r="G5" s="351" t="s">
        <v>701</v>
      </c>
      <c r="H5" s="351" t="s">
        <v>1386</v>
      </c>
      <c r="I5" s="351" t="s">
        <v>1387</v>
      </c>
      <c r="J5" s="351" t="s">
        <v>4556</v>
      </c>
      <c r="K5" s="354">
        <v>50670227</v>
      </c>
      <c r="L5" s="355">
        <v>50036044</v>
      </c>
      <c r="M5" s="354">
        <v>52304004</v>
      </c>
      <c r="N5" s="355">
        <v>50568818</v>
      </c>
      <c r="O5" s="355">
        <v>47426859</v>
      </c>
      <c r="P5" s="355">
        <v>46513517</v>
      </c>
      <c r="Q5" s="355">
        <v>44758251</v>
      </c>
      <c r="R5" s="355">
        <v>40794192</v>
      </c>
      <c r="S5" s="355">
        <v>39920016</v>
      </c>
      <c r="T5" s="355">
        <v>38093981</v>
      </c>
      <c r="U5" s="59">
        <f t="shared" si="2"/>
        <v>38093981</v>
      </c>
      <c r="V5" s="59">
        <f t="shared" si="3"/>
        <v>52304004</v>
      </c>
      <c r="W5" s="59">
        <f t="shared" si="4"/>
        <v>46108590.9</v>
      </c>
      <c r="X5" s="60">
        <f t="shared" si="5"/>
        <v>75.18020592250356</v>
      </c>
      <c r="Y5" s="65">
        <v>4</v>
      </c>
      <c r="Z5" s="65" t="str">
        <f>_xlfn.IFERROR(INDEX('Tabela PW'!$C:$F,'Słownik PW'!C5,1),"")</f>
        <v>Topnik wapniowy, wapień i pozostałe kamienie wapienne w rodzaju stosowanych do produkcji wapna lub cementu, z wyłączeniem agregatów tłucznia wapiennego lub kamieni wapiennych wymiarowych</v>
      </c>
      <c r="AA5" s="65" t="str">
        <f>_xlfn.IFERROR(INDEX('Tabela PW'!$C:$F,'Słownik PW'!C5,4),"")</f>
        <v>t</v>
      </c>
      <c r="AB5" s="65" t="str">
        <f t="shared" si="1"/>
        <v>Topnik wapniowy, wapień i pozostałe kamienie wapienne w rodzaju stosowanych do produkcji wapna lub cementu, z wyłączeniem agregatów tłucznia wapiennego lub kamieni wapiennych wymiarowych - (JM  t)</v>
      </c>
      <c r="AC5" s="65">
        <f>_xlfn.IFERROR(INDEX('Tabela PW'!$K:$K,'Słownik PW'!C5,1),"")</f>
        <v>33234974</v>
      </c>
      <c r="AD5" s="65">
        <f>_xlfn.IFERROR(INDEX('Tabela PW'!$L:$L,'Słownik PW'!C5,1),"")</f>
        <v>40977418</v>
      </c>
      <c r="AE5" s="65">
        <f>_xlfn.IFERROR(INDEX('Tabela PW'!$M:$M,'Słownik PW'!C5,1),"")</f>
        <v>38210748</v>
      </c>
      <c r="AF5" s="65">
        <f>_xlfn.IFERROR(INDEX('Tabela PW'!$N:$N,'Słownik PW'!C5,1),"")</f>
        <v>35353024</v>
      </c>
      <c r="AG5" s="65">
        <f>_xlfn.IFERROR(INDEX('Tabela PW'!$O:$O,'Słownik PW'!C5,1),"")</f>
        <v>35151507</v>
      </c>
      <c r="AH5" s="65">
        <f>_xlfn.IFERROR(INDEX('Tabela PW'!$P:$P,'Słownik PW'!C5,1),"")</f>
        <v>36522261</v>
      </c>
      <c r="AI5" s="65">
        <f>_xlfn.IFERROR(INDEX('Tabela PW'!$Q:$Q,'Słownik PW'!C5,1),"")</f>
        <v>35187594</v>
      </c>
      <c r="AJ5" s="65">
        <f>_xlfn.IFERROR(INDEX('Tabela PW'!$R:$R,'Słownik PW'!C5,1),"")</f>
        <v>35746930</v>
      </c>
      <c r="AK5" s="65">
        <f>_xlfn.IFERROR(INDEX('Tabela PW'!$S:$S,'Słownik PW'!C5,1),"")</f>
        <v>36283528</v>
      </c>
      <c r="AL5" s="65">
        <f>_xlfn.IFERROR(INDEX('Tabela PW'!$T:$T,'Słownik PW'!C5,1),"")</f>
        <v>36746832</v>
      </c>
      <c r="AM5" s="65">
        <f>_xlfn.IFERROR(INDEX('Tabela PW'!$U:$X,'Słownik PW'!C5,1),"")</f>
        <v>33234974</v>
      </c>
      <c r="AN5" s="65">
        <f>_xlfn.IFERROR(INDEX('Tabela PW'!$U:$X,'Słownik PW'!C5,2),"")</f>
        <v>40977418</v>
      </c>
      <c r="AO5" s="66">
        <f>_xlfn.IFERROR(INDEX('Tabela PW'!$U:$X,'Słownik PW'!C5,3),"")</f>
        <v>36341481.6</v>
      </c>
      <c r="AP5" s="67">
        <f>_xlfn.IFERROR(INDEX('Tabela PW'!$U:$X,'Słownik PW'!C5,4),"")</f>
        <v>110.56675416686048</v>
      </c>
      <c r="AQ5" s="66" t="str">
        <f>_xlfn.IFERROR(INDEX('Tabela PW'!$U:$X,'Słownik PW'!C5,5),"")</f>
        <v/>
      </c>
      <c r="AR5" s="67" t="str">
        <f>_xlfn.IFERROR(INDEX('Tabela PW'!$U:$X,'Słownik PW'!C5,6),"")</f>
        <v/>
      </c>
      <c r="AS5" s="67" t="str">
        <f>_xlfn.IFERROR(INDEX('Tabela PW'!$U:$X,'Słownik PW'!C5,7),"")</f>
        <v/>
      </c>
      <c r="AT5" s="65">
        <f>AW2</f>
        <v>1762674</v>
      </c>
      <c r="AU5" s="91">
        <v>0</v>
      </c>
      <c r="AV5" s="91"/>
      <c r="AW5" s="99"/>
      <c r="AX5" s="99"/>
      <c r="AY5" s="99"/>
      <c r="AZ5" s="99"/>
      <c r="BA5" s="22"/>
      <c r="BB5" s="22"/>
      <c r="BC5" s="22"/>
      <c r="BD5" s="22"/>
      <c r="BE5" s="65">
        <v>2012</v>
      </c>
      <c r="BF5" s="65"/>
      <c r="BG5" s="69"/>
      <c r="BH5" s="68"/>
      <c r="BI5" s="65"/>
    </row>
    <row r="6" spans="1:61" ht="15">
      <c r="A6" s="4" t="s">
        <v>23</v>
      </c>
      <c r="B6" s="5" t="s">
        <v>661</v>
      </c>
      <c r="C6" s="49" t="s">
        <v>27</v>
      </c>
      <c r="D6" s="349">
        <f t="shared" si="0"/>
        <v>15</v>
      </c>
      <c r="E6" s="350" t="s">
        <v>711</v>
      </c>
      <c r="F6" s="51" t="s">
        <v>25</v>
      </c>
      <c r="G6" s="351" t="s">
        <v>683</v>
      </c>
      <c r="H6" s="351" t="s">
        <v>1388</v>
      </c>
      <c r="I6" s="351" t="s">
        <v>1389</v>
      </c>
      <c r="J6" s="351" t="s">
        <v>3704</v>
      </c>
      <c r="K6" s="354">
        <v>56510125</v>
      </c>
      <c r="L6" s="355">
        <v>62841269</v>
      </c>
      <c r="M6" s="354">
        <v>64279772</v>
      </c>
      <c r="N6" s="355">
        <v>65848673</v>
      </c>
      <c r="O6" s="355">
        <v>63877360</v>
      </c>
      <c r="P6" s="355">
        <v>63128119</v>
      </c>
      <c r="Q6" s="355">
        <v>60246230</v>
      </c>
      <c r="R6" s="355">
        <v>61159780</v>
      </c>
      <c r="S6" s="355">
        <v>58570886</v>
      </c>
      <c r="T6" s="355">
        <v>50344778</v>
      </c>
      <c r="U6" s="59">
        <f t="shared" si="2"/>
        <v>50344778</v>
      </c>
      <c r="V6" s="59">
        <f t="shared" si="3"/>
        <v>65848673</v>
      </c>
      <c r="W6" s="59">
        <f t="shared" si="4"/>
        <v>60680699.2</v>
      </c>
      <c r="X6" s="60">
        <f t="shared" si="5"/>
        <v>89.08983655583845</v>
      </c>
      <c r="Y6" s="65">
        <v>5</v>
      </c>
      <c r="Z6" s="65" t="str">
        <f>_xlfn.IFERROR(INDEX('Tabela PW'!$C:$F,'Słownik PW'!C6,1),"")</f>
        <v>Kreda (łącznie z nawozową)</v>
      </c>
      <c r="AA6" s="65" t="str">
        <f>_xlfn.IFERROR(INDEX('Tabela PW'!$C:$F,'Słownik PW'!C6,4),"")</f>
        <v>t</v>
      </c>
      <c r="AB6" s="65" t="str">
        <f t="shared" si="1"/>
        <v>Kreda (łącznie z nawozową) - (JM  t)</v>
      </c>
      <c r="AC6" s="65">
        <f>_xlfn.IFERROR(INDEX('Tabela PW'!$K:$K,'Słownik PW'!C6,1),"")</f>
        <v>3145062</v>
      </c>
      <c r="AD6" s="65">
        <f>_xlfn.IFERROR(INDEX('Tabela PW'!$L:$L,'Słownik PW'!C6,1),"")</f>
        <v>3558721</v>
      </c>
      <c r="AE6" s="65">
        <f>_xlfn.IFERROR(INDEX('Tabela PW'!$M:$M,'Słownik PW'!C6,1),"")</f>
        <v>3012268</v>
      </c>
      <c r="AF6" s="65">
        <f>_xlfn.IFERROR(INDEX('Tabela PW'!$N:$N,'Słownik PW'!C6,1),"")</f>
        <v>2848666</v>
      </c>
      <c r="AG6" s="65">
        <f>_xlfn.IFERROR(INDEX('Tabela PW'!$O:$O,'Słownik PW'!C6,1),"")</f>
        <v>3101367</v>
      </c>
      <c r="AH6" s="65">
        <f>_xlfn.IFERROR(INDEX('Tabela PW'!$P:$P,'Słownik PW'!C6,1),"")</f>
        <v>3039208</v>
      </c>
      <c r="AI6" s="65">
        <f>_xlfn.IFERROR(INDEX('Tabela PW'!$Q:$Q,'Słownik PW'!C6,1),"")</f>
        <v>3136485</v>
      </c>
      <c r="AJ6" s="65">
        <f>_xlfn.IFERROR(INDEX('Tabela PW'!$R:$R,'Słownik PW'!C6,1),"")</f>
        <v>3472950</v>
      </c>
      <c r="AK6" s="65">
        <f>_xlfn.IFERROR(INDEX('Tabela PW'!$S:$S,'Słownik PW'!C6,1),"")</f>
        <v>3604812</v>
      </c>
      <c r="AL6" s="65">
        <f>_xlfn.IFERROR(INDEX('Tabela PW'!$T:$T,'Słownik PW'!C6,1),"")</f>
        <v>3961272</v>
      </c>
      <c r="AM6" s="65">
        <f>_xlfn.IFERROR(INDEX('Tabela PW'!$U:$X,'Słownik PW'!C6,1),"")</f>
        <v>2848666</v>
      </c>
      <c r="AN6" s="65">
        <f>_xlfn.IFERROR(INDEX('Tabela PW'!$U:$X,'Słownik PW'!C6,2),"")</f>
        <v>3961272</v>
      </c>
      <c r="AO6" s="66">
        <f>_xlfn.IFERROR(INDEX('Tabela PW'!$U:$X,'Słownik PW'!C6,3),"")</f>
        <v>3288081.1</v>
      </c>
      <c r="AP6" s="67">
        <f>_xlfn.IFERROR(INDEX('Tabela PW'!$U:$X,'Słownik PW'!C6,4),"")</f>
        <v>125.95211159589223</v>
      </c>
      <c r="AQ6" s="66" t="str">
        <f>_xlfn.IFERROR(INDEX('Tabela PW'!$U:$X,'Słownik PW'!C6,5),"")</f>
        <v/>
      </c>
      <c r="AR6" s="67" t="str">
        <f>_xlfn.IFERROR(INDEX('Tabela PW'!$U:$X,'Słownik PW'!C6,6),"")</f>
        <v/>
      </c>
      <c r="AS6" s="67" t="str">
        <f>_xlfn.IFERROR(INDEX('Tabela PW'!$U:$X,'Słownik PW'!C6,7),"")</f>
        <v/>
      </c>
      <c r="AT6" s="65">
        <f>AX2</f>
        <v>1864460</v>
      </c>
      <c r="AU6" s="100">
        <v>2010</v>
      </c>
      <c r="AV6" s="100">
        <v>2011</v>
      </c>
      <c r="AW6" s="100">
        <v>2012</v>
      </c>
      <c r="AX6" s="100">
        <v>2013</v>
      </c>
      <c r="AY6" s="100">
        <v>2014</v>
      </c>
      <c r="AZ6" s="100">
        <v>2015</v>
      </c>
      <c r="BA6" s="100">
        <v>2016</v>
      </c>
      <c r="BB6" s="100">
        <v>2017</v>
      </c>
      <c r="BC6" s="100">
        <v>2018</v>
      </c>
      <c r="BD6" s="100">
        <v>2019</v>
      </c>
      <c r="BE6" s="65">
        <v>2013</v>
      </c>
      <c r="BF6" s="65"/>
      <c r="BG6" s="69"/>
      <c r="BH6" s="68"/>
      <c r="BI6" s="65"/>
    </row>
    <row r="7" spans="1:61" ht="15">
      <c r="A7" s="4" t="s">
        <v>23</v>
      </c>
      <c r="B7" s="5" t="s">
        <v>661</v>
      </c>
      <c r="C7" s="49" t="s">
        <v>27</v>
      </c>
      <c r="D7" s="349">
        <f t="shared" si="0"/>
        <v>15</v>
      </c>
      <c r="E7" s="350" t="s">
        <v>712</v>
      </c>
      <c r="F7" s="51" t="s">
        <v>4554</v>
      </c>
      <c r="G7" s="351" t="s">
        <v>701</v>
      </c>
      <c r="H7" s="351" t="s">
        <v>1390</v>
      </c>
      <c r="I7" s="351" t="s">
        <v>1391</v>
      </c>
      <c r="J7" s="351" t="s">
        <v>4557</v>
      </c>
      <c r="K7" s="354">
        <v>16621358</v>
      </c>
      <c r="L7" s="355">
        <v>17929058</v>
      </c>
      <c r="M7" s="354">
        <v>18329406</v>
      </c>
      <c r="N7" s="355">
        <v>18701230</v>
      </c>
      <c r="O7" s="355">
        <v>17718556</v>
      </c>
      <c r="P7" s="355">
        <v>17527246</v>
      </c>
      <c r="Q7" s="355">
        <v>16706503</v>
      </c>
      <c r="R7" s="355">
        <v>17203957</v>
      </c>
      <c r="S7" s="355">
        <v>16104173</v>
      </c>
      <c r="T7" s="355">
        <v>13600899</v>
      </c>
      <c r="U7" s="59">
        <f t="shared" si="2"/>
        <v>13600899</v>
      </c>
      <c r="V7" s="59">
        <f t="shared" si="3"/>
        <v>18701230</v>
      </c>
      <c r="W7" s="59">
        <f t="shared" si="4"/>
        <v>17044238.6</v>
      </c>
      <c r="X7" s="60">
        <f t="shared" si="5"/>
        <v>81.8278446321895</v>
      </c>
      <c r="Y7" s="65">
        <v>6</v>
      </c>
      <c r="Z7" s="65" t="str">
        <f>_xlfn.IFERROR(INDEX('Tabela PW'!$C:$F,'Słownik PW'!C7,1),"")</f>
        <v>Kreda mielona, nawozowa</v>
      </c>
      <c r="AA7" s="65" t="str">
        <f>_xlfn.IFERROR(INDEX('Tabela PW'!$C:$F,'Słownik PW'!C7,4),"")</f>
        <v>t</v>
      </c>
      <c r="AB7" s="65" t="str">
        <f t="shared" si="1"/>
        <v>Kreda mielona, nawozowa - (JM  t)</v>
      </c>
      <c r="AC7" s="65">
        <f>_xlfn.IFERROR(INDEX('Tabela PW'!$K:$K,'Słownik PW'!C7,1),"")</f>
        <v>234388</v>
      </c>
      <c r="AD7" s="65">
        <f>_xlfn.IFERROR(INDEX('Tabela PW'!$L:$L,'Słownik PW'!C7,1),"")</f>
        <v>320944</v>
      </c>
      <c r="AE7" s="65">
        <f>_xlfn.IFERROR(INDEX('Tabela PW'!$M:$M,'Słownik PW'!C7,1),"")</f>
        <v>381960</v>
      </c>
      <c r="AF7" s="65">
        <f>_xlfn.IFERROR(INDEX('Tabela PW'!$N:$N,'Słownik PW'!C7,1),"")</f>
        <v>387584</v>
      </c>
      <c r="AG7" s="65">
        <f>_xlfn.IFERROR(INDEX('Tabela PW'!$O:$O,'Słownik PW'!C7,1),"")</f>
        <v>448034</v>
      </c>
      <c r="AH7" s="65">
        <f>_xlfn.IFERROR(INDEX('Tabela PW'!$P:$P,'Słownik PW'!C7,1),"")</f>
        <v>460866</v>
      </c>
      <c r="AI7" s="65">
        <f>_xlfn.IFERROR(INDEX('Tabela PW'!$Q:$Q,'Słownik PW'!C7,1),"")</f>
        <v>463002</v>
      </c>
      <c r="AJ7" s="65">
        <f>_xlfn.IFERROR(INDEX('Tabela PW'!$R:$R,'Słownik PW'!C7,1),"")</f>
        <v>630210</v>
      </c>
      <c r="AK7" s="65">
        <f>_xlfn.IFERROR(INDEX('Tabela PW'!$S:$S,'Słownik PW'!C7,1),"")</f>
        <v>700794</v>
      </c>
      <c r="AL7" s="65">
        <f>_xlfn.IFERROR(INDEX('Tabela PW'!$T:$T,'Słownik PW'!C7,1),"")</f>
        <v>814673</v>
      </c>
      <c r="AM7" s="65">
        <f>_xlfn.IFERROR(INDEX('Tabela PW'!$U:$X,'Słownik PW'!C7,1),"")</f>
        <v>234388</v>
      </c>
      <c r="AN7" s="65">
        <f>_xlfn.IFERROR(INDEX('Tabela PW'!$U:$X,'Słownik PW'!C7,2),"")</f>
        <v>814673</v>
      </c>
      <c r="AO7" s="66">
        <f>_xlfn.IFERROR(INDEX('Tabela PW'!$U:$X,'Słownik PW'!C7,3),"")</f>
        <v>484245.5</v>
      </c>
      <c r="AP7" s="67">
        <f>_xlfn.IFERROR(INDEX('Tabela PW'!$U:$X,'Słownik PW'!C7,4),"")</f>
        <v>347.57453453248456</v>
      </c>
      <c r="AQ7" s="66" t="str">
        <f>_xlfn.IFERROR(INDEX('Tabela PW'!$U:$X,'Słownik PW'!C7,5),"")</f>
        <v/>
      </c>
      <c r="AR7" s="67" t="str">
        <f>_xlfn.IFERROR(INDEX('Tabela PW'!$U:$X,'Słownik PW'!C7,6),"")</f>
        <v/>
      </c>
      <c r="AS7" s="67" t="str">
        <f>_xlfn.IFERROR(INDEX('Tabela PW'!$U:$X,'Słownik PW'!C7,7),"")</f>
        <v/>
      </c>
      <c r="AT7" s="65">
        <f>AY2</f>
        <v>1996477</v>
      </c>
      <c r="AU7" s="91">
        <f>AU2</f>
        <v>1727287</v>
      </c>
      <c r="AV7" s="91">
        <f aca="true" t="shared" si="7" ref="AV7:BD7">AV2</f>
        <v>1794995</v>
      </c>
      <c r="AW7" s="91">
        <f t="shared" si="7"/>
        <v>1762674</v>
      </c>
      <c r="AX7" s="91">
        <f t="shared" si="7"/>
        <v>1864460</v>
      </c>
      <c r="AY7" s="91">
        <f t="shared" si="7"/>
        <v>1996477</v>
      </c>
      <c r="AZ7" s="91">
        <f t="shared" si="7"/>
        <v>3068868</v>
      </c>
      <c r="BA7" s="91">
        <f t="shared" si="7"/>
        <v>3258268</v>
      </c>
      <c r="BB7" s="91">
        <f t="shared" si="7"/>
        <v>2760644</v>
      </c>
      <c r="BC7" s="91">
        <f t="shared" si="7"/>
        <v>3023640</v>
      </c>
      <c r="BD7" s="91">
        <f t="shared" si="7"/>
        <v>3392193</v>
      </c>
      <c r="BE7" s="65">
        <v>2014</v>
      </c>
      <c r="BF7" s="65"/>
      <c r="BG7" s="69"/>
      <c r="BH7" s="68"/>
      <c r="BI7" s="65"/>
    </row>
    <row r="8" spans="1:61" ht="15">
      <c r="A8" s="4" t="s">
        <v>28</v>
      </c>
      <c r="B8" s="5" t="s">
        <v>669</v>
      </c>
      <c r="C8" s="49" t="s">
        <v>29</v>
      </c>
      <c r="D8" s="349">
        <f t="shared" si="0"/>
        <v>64</v>
      </c>
      <c r="E8" s="350" t="s">
        <v>713</v>
      </c>
      <c r="F8" s="51" t="s">
        <v>25</v>
      </c>
      <c r="G8" s="351" t="s">
        <v>683</v>
      </c>
      <c r="H8" s="351" t="s">
        <v>1392</v>
      </c>
      <c r="I8" s="351" t="s">
        <v>1393</v>
      </c>
      <c r="J8" s="351" t="s">
        <v>3706</v>
      </c>
      <c r="K8" s="354">
        <v>686487</v>
      </c>
      <c r="L8" s="355">
        <v>618163</v>
      </c>
      <c r="M8" s="354">
        <v>677664</v>
      </c>
      <c r="N8" s="355">
        <v>960672</v>
      </c>
      <c r="O8" s="355">
        <v>948563</v>
      </c>
      <c r="P8" s="355">
        <v>895734</v>
      </c>
      <c r="Q8" s="355">
        <v>876546</v>
      </c>
      <c r="R8" s="355">
        <v>878250</v>
      </c>
      <c r="S8" s="355">
        <v>889186</v>
      </c>
      <c r="T8" s="355">
        <v>833028</v>
      </c>
      <c r="U8" s="59">
        <f t="shared" si="2"/>
        <v>618163</v>
      </c>
      <c r="V8" s="59">
        <f t="shared" si="3"/>
        <v>960672</v>
      </c>
      <c r="W8" s="59">
        <f t="shared" si="4"/>
        <v>826429.3</v>
      </c>
      <c r="X8" s="60">
        <f t="shared" si="5"/>
        <v>121.34650765418719</v>
      </c>
      <c r="Y8" s="65">
        <v>7</v>
      </c>
      <c r="Z8" s="65" t="str">
        <f>_xlfn.IFERROR(INDEX('Tabela PW'!$C:$F,'Słownik PW'!C8,1),"")</f>
        <v>Dolomit niekalcynowany ani niespiekany</v>
      </c>
      <c r="AA8" s="65" t="str">
        <f>_xlfn.IFERROR(INDEX('Tabela PW'!$C:$F,'Słownik PW'!C8,4),"")</f>
        <v>t</v>
      </c>
      <c r="AB8" s="65" t="str">
        <f t="shared" si="1"/>
        <v>Dolomit niekalcynowany ani niespiekany - (JM  t)</v>
      </c>
      <c r="AC8" s="65">
        <f>_xlfn.IFERROR(INDEX('Tabela PW'!$K:$K,'Słownik PW'!C8,1),"")</f>
        <v>1727287</v>
      </c>
      <c r="AD8" s="65">
        <f>_xlfn.IFERROR(INDEX('Tabela PW'!$L:$L,'Słownik PW'!C8,1),"")</f>
        <v>1794995</v>
      </c>
      <c r="AE8" s="65">
        <f>_xlfn.IFERROR(INDEX('Tabela PW'!$M:$M,'Słownik PW'!C8,1),"")</f>
        <v>1762674</v>
      </c>
      <c r="AF8" s="65">
        <f>_xlfn.IFERROR(INDEX('Tabela PW'!$N:$N,'Słownik PW'!C8,1),"")</f>
        <v>1864460</v>
      </c>
      <c r="AG8" s="65">
        <f>_xlfn.IFERROR(INDEX('Tabela PW'!$O:$O,'Słownik PW'!C8,1),"")</f>
        <v>1996477</v>
      </c>
      <c r="AH8" s="65">
        <f>_xlfn.IFERROR(INDEX('Tabela PW'!$P:$P,'Słownik PW'!C8,1),"")</f>
        <v>3068868</v>
      </c>
      <c r="AI8" s="65">
        <f>_xlfn.IFERROR(INDEX('Tabela PW'!$Q:$Q,'Słownik PW'!C8,1),"")</f>
        <v>3258268</v>
      </c>
      <c r="AJ8" s="65">
        <f>_xlfn.IFERROR(INDEX('Tabela PW'!$R:$R,'Słownik PW'!C8,1),"")</f>
        <v>2760644</v>
      </c>
      <c r="AK8" s="65">
        <f>_xlfn.IFERROR(INDEX('Tabela PW'!$S:$S,'Słownik PW'!C8,1),"")</f>
        <v>3023640</v>
      </c>
      <c r="AL8" s="65">
        <f>_xlfn.IFERROR(INDEX('Tabela PW'!$T:$T,'Słownik PW'!C8,1),"")</f>
        <v>3392193</v>
      </c>
      <c r="AM8" s="65">
        <f>_xlfn.IFERROR(INDEX('Tabela PW'!$U:$X,'Słownik PW'!C8,1),"")</f>
        <v>1727287</v>
      </c>
      <c r="AN8" s="65">
        <f>_xlfn.IFERROR(INDEX('Tabela PW'!$U:$X,'Słownik PW'!C8,2),"")</f>
        <v>3392193</v>
      </c>
      <c r="AO8" s="66">
        <f>_xlfn.IFERROR(INDEX('Tabela PW'!$U:$X,'Słownik PW'!C8,3),"")</f>
        <v>2464950.6</v>
      </c>
      <c r="AP8" s="67">
        <f>_xlfn.IFERROR(INDEX('Tabela PW'!$U:$X,'Słownik PW'!C8,4),"")</f>
        <v>196.3884982634617</v>
      </c>
      <c r="AQ8" s="66" t="str">
        <f>_xlfn.IFERROR(INDEX('Tabela PW'!$U:$X,'Słownik PW'!C8,5),"")</f>
        <v/>
      </c>
      <c r="AR8" s="67" t="str">
        <f>_xlfn.IFERROR(INDEX('Tabela PW'!$U:$X,'Słownik PW'!C8,6),"")</f>
        <v/>
      </c>
      <c r="AS8" s="67" t="str">
        <f>_xlfn.IFERROR(INDEX('Tabela PW'!$U:$X,'Słownik PW'!C8,7),"")</f>
        <v/>
      </c>
      <c r="AT8" s="65">
        <f>AZ2</f>
        <v>3068868</v>
      </c>
      <c r="AU8" s="91"/>
      <c r="AV8" s="91"/>
      <c r="AW8" s="91"/>
      <c r="AX8" s="91"/>
      <c r="AY8" s="91"/>
      <c r="AZ8" s="91"/>
      <c r="BA8" s="22"/>
      <c r="BB8" s="22"/>
      <c r="BC8" s="22"/>
      <c r="BD8" s="22"/>
      <c r="BE8" s="65">
        <v>2015</v>
      </c>
      <c r="BF8" s="65"/>
      <c r="BG8" s="65"/>
      <c r="BH8" s="68"/>
      <c r="BI8" s="65"/>
    </row>
    <row r="9" spans="1:61" ht="15">
      <c r="A9" s="4" t="s">
        <v>28</v>
      </c>
      <c r="B9" s="5" t="s">
        <v>669</v>
      </c>
      <c r="C9" s="49" t="s">
        <v>30</v>
      </c>
      <c r="D9" s="349">
        <f t="shared" si="0"/>
        <v>39</v>
      </c>
      <c r="E9" s="350" t="s">
        <v>714</v>
      </c>
      <c r="F9" s="51" t="s">
        <v>31</v>
      </c>
      <c r="G9" s="351" t="s">
        <v>661</v>
      </c>
      <c r="H9" s="351" t="s">
        <v>1394</v>
      </c>
      <c r="I9" s="351" t="s">
        <v>1395</v>
      </c>
      <c r="J9" s="351" t="s">
        <v>3707</v>
      </c>
      <c r="K9" s="354">
        <v>5665634</v>
      </c>
      <c r="L9" s="355">
        <v>5823027</v>
      </c>
      <c r="M9" s="354">
        <v>5780347</v>
      </c>
      <c r="N9" s="355">
        <v>5789384</v>
      </c>
      <c r="O9" s="355">
        <v>5647893</v>
      </c>
      <c r="P9" s="355">
        <v>5623657</v>
      </c>
      <c r="Q9" s="355">
        <v>5400818</v>
      </c>
      <c r="R9" s="355">
        <v>5379412</v>
      </c>
      <c r="S9" s="355">
        <v>5342870</v>
      </c>
      <c r="T9" s="355">
        <v>5350706</v>
      </c>
      <c r="U9" s="59">
        <f t="shared" si="2"/>
        <v>5342870</v>
      </c>
      <c r="V9" s="59">
        <f t="shared" si="3"/>
        <v>5823027</v>
      </c>
      <c r="W9" s="59">
        <f t="shared" si="4"/>
        <v>5580374.8</v>
      </c>
      <c r="X9" s="60">
        <f t="shared" si="5"/>
        <v>94.4414340919304</v>
      </c>
      <c r="Y9" s="65">
        <v>8</v>
      </c>
      <c r="Z9" s="65" t="str">
        <f>_xlfn.IFERROR(INDEX('Tabela PW'!$C:$F,'Słownik PW'!C9,1),"")</f>
        <v>Piaski krzemionkowe i piaski kwarcowe</v>
      </c>
      <c r="AA9" s="65" t="str">
        <f>_xlfn.IFERROR(INDEX('Tabela PW'!$C:$F,'Słownik PW'!C9,4),"")</f>
        <v>t</v>
      </c>
      <c r="AB9" s="65" t="str">
        <f t="shared" si="1"/>
        <v>Piaski krzemionkowe i piaski kwarcowe - (JM  t)</v>
      </c>
      <c r="AC9" s="65">
        <f>_xlfn.IFERROR(INDEX('Tabela PW'!$K:$K,'Słownik PW'!C9,1),"")</f>
        <v>7685511</v>
      </c>
      <c r="AD9" s="65">
        <f>_xlfn.IFERROR(INDEX('Tabela PW'!$L:$L,'Słownik PW'!C9,1),"")</f>
        <v>15102999</v>
      </c>
      <c r="AE9" s="65">
        <f>_xlfn.IFERROR(INDEX('Tabela PW'!$M:$M,'Słownik PW'!C9,1),"")</f>
        <v>10544645</v>
      </c>
      <c r="AF9" s="65">
        <f>_xlfn.IFERROR(INDEX('Tabela PW'!$N:$N,'Słownik PW'!C9,1),"")</f>
        <v>9877689</v>
      </c>
      <c r="AG9" s="65">
        <f>_xlfn.IFERROR(INDEX('Tabela PW'!$O:$O,'Słownik PW'!C9,1),"")</f>
        <v>9296983</v>
      </c>
      <c r="AH9" s="65">
        <f>_xlfn.IFERROR(INDEX('Tabela PW'!$P:$P,'Słownik PW'!C9,1),"")</f>
        <v>10389973</v>
      </c>
      <c r="AI9" s="65">
        <f>_xlfn.IFERROR(INDEX('Tabela PW'!$Q:$Q,'Słownik PW'!C9,1),"")</f>
        <v>8984402</v>
      </c>
      <c r="AJ9" s="65">
        <f>_xlfn.IFERROR(INDEX('Tabela PW'!$R:$R,'Słownik PW'!C9,1),"")</f>
        <v>9023275</v>
      </c>
      <c r="AK9" s="65">
        <f>_xlfn.IFERROR(INDEX('Tabela PW'!$S:$S,'Słownik PW'!C9,1),"")</f>
        <v>8943327</v>
      </c>
      <c r="AL9" s="65">
        <f>_xlfn.IFERROR(INDEX('Tabela PW'!$T:$T,'Słownik PW'!C9,1),"")</f>
        <v>9644488</v>
      </c>
      <c r="AM9" s="65">
        <f>_xlfn.IFERROR(INDEX('Tabela PW'!$U:$X,'Słownik PW'!C9,1),"")</f>
        <v>7685511</v>
      </c>
      <c r="AN9" s="65">
        <f>_xlfn.IFERROR(INDEX('Tabela PW'!$U:$X,'Słownik PW'!C9,2),"")</f>
        <v>15102999</v>
      </c>
      <c r="AO9" s="66">
        <f>_xlfn.IFERROR(INDEX('Tabela PW'!$U:$X,'Słownik PW'!C9,3),"")</f>
        <v>9949329.2</v>
      </c>
      <c r="AP9" s="67">
        <f>_xlfn.IFERROR(INDEX('Tabela PW'!$U:$X,'Słownik PW'!C9,4),"")</f>
        <v>125.48922251233523</v>
      </c>
      <c r="AQ9" s="66" t="str">
        <f>_xlfn.IFERROR(INDEX('Tabela PW'!$U:$X,'Słownik PW'!C9,5),"")</f>
        <v/>
      </c>
      <c r="AR9" s="67" t="str">
        <f>_xlfn.IFERROR(INDEX('Tabela PW'!$U:$X,'Słownik PW'!C9,6),"")</f>
        <v/>
      </c>
      <c r="AS9" s="67" t="str">
        <f>_xlfn.IFERROR(INDEX('Tabela PW'!$U:$X,'Słownik PW'!C9,7),"")</f>
        <v/>
      </c>
      <c r="AT9" s="65">
        <f>BA2</f>
        <v>3258268</v>
      </c>
      <c r="AU9" s="100"/>
      <c r="AV9" s="100">
        <f aca="true" t="shared" si="8" ref="AV9:BD9">IF($AU$5=1,AV4,AV6)</f>
        <v>2011</v>
      </c>
      <c r="AW9" s="100">
        <f t="shared" si="8"/>
        <v>2012</v>
      </c>
      <c r="AX9" s="100">
        <f t="shared" si="8"/>
        <v>2013</v>
      </c>
      <c r="AY9" s="100">
        <f t="shared" si="8"/>
        <v>2014</v>
      </c>
      <c r="AZ9" s="100">
        <f t="shared" si="8"/>
        <v>2015</v>
      </c>
      <c r="BA9" s="100">
        <f>IF($AU$5=1,BA4,BA6)</f>
        <v>2016</v>
      </c>
      <c r="BB9" s="100">
        <f t="shared" si="8"/>
        <v>2017</v>
      </c>
      <c r="BC9" s="100">
        <f>IF($AU$5=1,BC4,BC6)</f>
        <v>2018</v>
      </c>
      <c r="BD9" s="100">
        <f t="shared" si="8"/>
        <v>2019</v>
      </c>
      <c r="BE9" s="65">
        <v>2016</v>
      </c>
      <c r="BF9" s="65"/>
      <c r="BG9" s="65"/>
      <c r="BH9" s="68"/>
      <c r="BI9" s="65"/>
    </row>
    <row r="10" spans="1:61" ht="15">
      <c r="A10" s="4" t="s">
        <v>28</v>
      </c>
      <c r="B10" s="5" t="s">
        <v>669</v>
      </c>
      <c r="C10" s="49" t="s">
        <v>30</v>
      </c>
      <c r="D10" s="349">
        <f t="shared" si="0"/>
        <v>39</v>
      </c>
      <c r="E10" s="350" t="s">
        <v>715</v>
      </c>
      <c r="F10" s="51" t="s">
        <v>32</v>
      </c>
      <c r="G10" s="351" t="s">
        <v>669</v>
      </c>
      <c r="H10" s="351" t="s">
        <v>1396</v>
      </c>
      <c r="I10" s="351" t="s">
        <v>1397</v>
      </c>
      <c r="J10" s="351" t="s">
        <v>3708</v>
      </c>
      <c r="K10" s="354">
        <v>171755940</v>
      </c>
      <c r="L10" s="355">
        <v>176421240</v>
      </c>
      <c r="M10" s="354">
        <v>177298606</v>
      </c>
      <c r="N10" s="355">
        <v>176163328</v>
      </c>
      <c r="O10" s="355">
        <v>167151785</v>
      </c>
      <c r="P10" s="355">
        <v>171148670</v>
      </c>
      <c r="Q10" s="355">
        <v>165834907</v>
      </c>
      <c r="R10" s="355">
        <v>162782848</v>
      </c>
      <c r="S10" s="355">
        <v>160479606</v>
      </c>
      <c r="T10" s="355">
        <v>162014358</v>
      </c>
      <c r="U10" s="59">
        <f t="shared" si="2"/>
        <v>160479606</v>
      </c>
      <c r="V10" s="59">
        <f t="shared" si="3"/>
        <v>177298606</v>
      </c>
      <c r="W10" s="59">
        <f t="shared" si="4"/>
        <v>169105128.8</v>
      </c>
      <c r="X10" s="60">
        <f t="shared" si="5"/>
        <v>94.3282415734792</v>
      </c>
      <c r="Y10" s="65">
        <v>9</v>
      </c>
      <c r="Z10" s="65" t="str">
        <f>_xlfn.IFERROR(INDEX('Tabela PW'!$C:$F,'Słownik PW'!C10,1),"")</f>
        <v>Piasek szklarski</v>
      </c>
      <c r="AA10" s="65" t="str">
        <f>_xlfn.IFERROR(INDEX('Tabela PW'!$C:$F,'Słownik PW'!C10,4),"")</f>
        <v>t</v>
      </c>
      <c r="AB10" s="65" t="str">
        <f t="shared" si="1"/>
        <v>Piasek szklarski - (JM  t)</v>
      </c>
      <c r="AC10" s="65">
        <f>_xlfn.IFERROR(INDEX('Tabela PW'!$K:$K,'Słownik PW'!C10,1),"")</f>
        <v>2457571</v>
      </c>
      <c r="AD10" s="65">
        <f>_xlfn.IFERROR(INDEX('Tabela PW'!$L:$L,'Słownik PW'!C10,1),"")</f>
        <v>2569919</v>
      </c>
      <c r="AE10" s="65">
        <f>_xlfn.IFERROR(INDEX('Tabela PW'!$M:$M,'Słownik PW'!C10,1),"")</f>
        <v>2354407</v>
      </c>
      <c r="AF10" s="65">
        <f>_xlfn.IFERROR(INDEX('Tabela PW'!$N:$N,'Słownik PW'!C10,1),"")</f>
        <v>2342998</v>
      </c>
      <c r="AG10" s="65">
        <f>_xlfn.IFERROR(INDEX('Tabela PW'!$O:$O,'Słownik PW'!C10,1),"")</f>
        <v>2256483</v>
      </c>
      <c r="AH10" s="65">
        <f>_xlfn.IFERROR(INDEX('Tabela PW'!$P:$P,'Słownik PW'!C10,1),"")</f>
        <v>2447918</v>
      </c>
      <c r="AI10" s="65">
        <f>_xlfn.IFERROR(INDEX('Tabela PW'!$Q:$Q,'Słownik PW'!C10,1),"")</f>
        <v>2368760</v>
      </c>
      <c r="AJ10" s="65">
        <f>_xlfn.IFERROR(INDEX('Tabela PW'!$R:$R,'Słownik PW'!C10,1),"")</f>
        <v>2472231</v>
      </c>
      <c r="AK10" s="65">
        <f>_xlfn.IFERROR(INDEX('Tabela PW'!$S:$S,'Słownik PW'!C10,1),"")</f>
        <v>2434920</v>
      </c>
      <c r="AL10" s="65">
        <f>_xlfn.IFERROR(INDEX('Tabela PW'!$T:$T,'Słownik PW'!C10,1),"")</f>
        <v>2853703</v>
      </c>
      <c r="AM10" s="65">
        <f>_xlfn.IFERROR(INDEX('Tabela PW'!$U:$X,'Słownik PW'!C10,1),"")</f>
        <v>2256483</v>
      </c>
      <c r="AN10" s="65">
        <f>_xlfn.IFERROR(INDEX('Tabela PW'!$U:$X,'Słownik PW'!C10,2),"")</f>
        <v>2853703</v>
      </c>
      <c r="AO10" s="66">
        <f>_xlfn.IFERROR(INDEX('Tabela PW'!$U:$X,'Słownik PW'!C10,3),"")</f>
        <v>2455891</v>
      </c>
      <c r="AP10" s="67">
        <f>_xlfn.IFERROR(INDEX('Tabela PW'!$U:$X,'Słownik PW'!C10,4),"")</f>
        <v>116.11884254819087</v>
      </c>
      <c r="AQ10" s="66" t="str">
        <f>_xlfn.IFERROR(INDEX('Tabela PW'!$U:$X,'Słownik PW'!C10,5),"")</f>
        <v/>
      </c>
      <c r="AR10" s="67" t="str">
        <f>_xlfn.IFERROR(INDEX('Tabela PW'!$U:$X,'Słownik PW'!C10,6),"")</f>
        <v/>
      </c>
      <c r="AS10" s="67" t="str">
        <f>_xlfn.IFERROR(INDEX('Tabela PW'!$U:$X,'Słownik PW'!C10,7),"")</f>
        <v/>
      </c>
      <c r="AT10" s="65">
        <f>BB2</f>
        <v>2760644</v>
      </c>
      <c r="AU10" s="91"/>
      <c r="AV10" s="101">
        <f>AV4</f>
        <v>103.91990445131584</v>
      </c>
      <c r="AW10" s="101">
        <f aca="true" t="shared" si="9" ref="AW10:BD10">AW4</f>
        <v>98.19938217098098</v>
      </c>
      <c r="AX10" s="101">
        <f t="shared" si="9"/>
        <v>105.77452211810012</v>
      </c>
      <c r="AY10" s="101">
        <f t="shared" si="9"/>
        <v>107.08070969610503</v>
      </c>
      <c r="AZ10" s="101">
        <f t="shared" si="9"/>
        <v>153.71416750606193</v>
      </c>
      <c r="BA10" s="101">
        <f t="shared" si="9"/>
        <v>106.1716567802851</v>
      </c>
      <c r="BB10" s="101">
        <f t="shared" si="9"/>
        <v>84.72734593962191</v>
      </c>
      <c r="BC10" s="101">
        <f t="shared" si="9"/>
        <v>109.5266177022463</v>
      </c>
      <c r="BD10" s="101">
        <f t="shared" si="9"/>
        <v>112.18905028376393</v>
      </c>
      <c r="BE10" s="65">
        <v>2017</v>
      </c>
      <c r="BF10" s="65"/>
      <c r="BG10" s="65"/>
      <c r="BH10" s="68"/>
      <c r="BI10" s="65"/>
    </row>
    <row r="11" spans="1:61" ht="15">
      <c r="A11" s="4" t="s">
        <v>33</v>
      </c>
      <c r="B11" s="5" t="s">
        <v>665</v>
      </c>
      <c r="C11" s="49" t="s">
        <v>34</v>
      </c>
      <c r="D11" s="349">
        <f t="shared" si="0"/>
        <v>25</v>
      </c>
      <c r="E11" s="350" t="s">
        <v>716</v>
      </c>
      <c r="F11" s="51" t="s">
        <v>25</v>
      </c>
      <c r="G11" s="351" t="s">
        <v>683</v>
      </c>
      <c r="H11" s="351" t="s">
        <v>1398</v>
      </c>
      <c r="I11" s="351" t="s">
        <v>1399</v>
      </c>
      <c r="J11" s="351" t="s">
        <v>3709</v>
      </c>
      <c r="K11" s="354">
        <v>32647685</v>
      </c>
      <c r="L11" s="355">
        <v>33117485</v>
      </c>
      <c r="M11" s="354">
        <v>33587338</v>
      </c>
      <c r="N11" s="355">
        <v>34072858</v>
      </c>
      <c r="O11" s="355">
        <v>34456622</v>
      </c>
      <c r="P11" s="355">
        <v>35046687</v>
      </c>
      <c r="Q11" s="355">
        <v>35487007</v>
      </c>
      <c r="R11" s="355">
        <v>34614931</v>
      </c>
      <c r="S11" s="355">
        <v>33567216</v>
      </c>
      <c r="T11" s="355">
        <v>33202969</v>
      </c>
      <c r="U11" s="59">
        <f t="shared" si="2"/>
        <v>32647685</v>
      </c>
      <c r="V11" s="59">
        <f t="shared" si="3"/>
        <v>35487007</v>
      </c>
      <c r="W11" s="59">
        <f t="shared" si="4"/>
        <v>33980079.8</v>
      </c>
      <c r="X11" s="60">
        <f t="shared" si="5"/>
        <v>101.70083728754429</v>
      </c>
      <c r="Y11" s="65">
        <v>10</v>
      </c>
      <c r="Z11" s="65" t="str">
        <f>_xlfn.IFERROR(INDEX('Tabela PW'!$C:$F,'Słownik PW'!C11,1),"")</f>
        <v>Piasek formierski</v>
      </c>
      <c r="AA11" s="65" t="str">
        <f>_xlfn.IFERROR(INDEX('Tabela PW'!$C:$F,'Słownik PW'!C11,4),"")</f>
        <v>t</v>
      </c>
      <c r="AB11" s="65" t="str">
        <f t="shared" si="1"/>
        <v>Piasek formierski - (JM  t)</v>
      </c>
      <c r="AC11" s="65">
        <f>_xlfn.IFERROR(INDEX('Tabela PW'!$K:$K,'Słownik PW'!C11,1),"")</f>
        <v>1816642</v>
      </c>
      <c r="AD11" s="65">
        <f>_xlfn.IFERROR(INDEX('Tabela PW'!$L:$L,'Słownik PW'!C11,1),"")</f>
        <v>2095734</v>
      </c>
      <c r="AE11" s="65">
        <f>_xlfn.IFERROR(INDEX('Tabela PW'!$M:$M,'Słownik PW'!C11,1),"")</f>
        <v>2933982</v>
      </c>
      <c r="AF11" s="65">
        <f>_xlfn.IFERROR(INDEX('Tabela PW'!$N:$N,'Słownik PW'!C11,1),"")</f>
        <v>3360455</v>
      </c>
      <c r="AG11" s="65">
        <f>_xlfn.IFERROR(INDEX('Tabela PW'!$O:$O,'Słownik PW'!C11,1),"")</f>
        <v>1796134</v>
      </c>
      <c r="AH11" s="65">
        <f>_xlfn.IFERROR(INDEX('Tabela PW'!$P:$P,'Słownik PW'!C11,1),"")</f>
        <v>1633220</v>
      </c>
      <c r="AI11" s="65">
        <f>_xlfn.IFERROR(INDEX('Tabela PW'!$Q:$Q,'Słownik PW'!C11,1),"")</f>
        <v>1643240</v>
      </c>
      <c r="AJ11" s="65">
        <f>_xlfn.IFERROR(INDEX('Tabela PW'!$R:$R,'Słownik PW'!C11,1),"")</f>
        <v>1642877</v>
      </c>
      <c r="AK11" s="65">
        <f>_xlfn.IFERROR(INDEX('Tabela PW'!$S:$S,'Słownik PW'!C11,1),"")</f>
        <v>1511645</v>
      </c>
      <c r="AL11" s="65">
        <f>_xlfn.IFERROR(INDEX('Tabela PW'!$T:$T,'Słownik PW'!C11,1),"")</f>
        <v>1480320</v>
      </c>
      <c r="AM11" s="65">
        <f>_xlfn.IFERROR(INDEX('Tabela PW'!$U:$X,'Słownik PW'!C11,1),"")</f>
        <v>1480320</v>
      </c>
      <c r="AN11" s="65">
        <f>_xlfn.IFERROR(INDEX('Tabela PW'!$U:$X,'Słownik PW'!C11,2),"")</f>
        <v>3360455</v>
      </c>
      <c r="AO11" s="66">
        <f>_xlfn.IFERROR(INDEX('Tabela PW'!$U:$X,'Słownik PW'!C11,3),"")</f>
        <v>1991424.9</v>
      </c>
      <c r="AP11" s="67">
        <f>_xlfn.IFERROR(INDEX('Tabela PW'!$U:$X,'Słownik PW'!C11,4),"")</f>
        <v>81.4866110108651</v>
      </c>
      <c r="AQ11" s="66" t="str">
        <f>_xlfn.IFERROR(INDEX('Tabela PW'!$U:$X,'Słownik PW'!C11,5),"")</f>
        <v/>
      </c>
      <c r="AR11" s="67" t="str">
        <f>_xlfn.IFERROR(INDEX('Tabela PW'!$U:$X,'Słownik PW'!C11,6),"")</f>
        <v/>
      </c>
      <c r="AS11" s="67" t="str">
        <f>_xlfn.IFERROR(INDEX('Tabela PW'!$U:$X,'Słownik PW'!C11,7),"")</f>
        <v/>
      </c>
      <c r="AT11" s="65">
        <f>BC2</f>
        <v>3023640</v>
      </c>
      <c r="AU11" s="65"/>
      <c r="AV11" s="65"/>
      <c r="AW11" s="65"/>
      <c r="AX11" s="65"/>
      <c r="AY11" s="65"/>
      <c r="AZ11" s="65"/>
      <c r="BA11" s="65"/>
      <c r="BB11" s="65"/>
      <c r="BC11" s="65"/>
      <c r="BD11" s="65"/>
      <c r="BE11" s="65">
        <v>2018</v>
      </c>
      <c r="BF11" s="65"/>
      <c r="BG11" s="65"/>
      <c r="BH11" s="68"/>
      <c r="BI11" s="65"/>
    </row>
    <row r="12" spans="1:61" ht="15">
      <c r="A12" s="4" t="s">
        <v>33</v>
      </c>
      <c r="B12" s="5" t="s">
        <v>665</v>
      </c>
      <c r="C12" s="49" t="s">
        <v>34</v>
      </c>
      <c r="D12" s="349">
        <f t="shared" si="0"/>
        <v>25</v>
      </c>
      <c r="E12" s="350" t="s">
        <v>717</v>
      </c>
      <c r="F12" s="51" t="s">
        <v>35</v>
      </c>
      <c r="G12" s="351" t="s">
        <v>663</v>
      </c>
      <c r="H12" s="351" t="s">
        <v>1400</v>
      </c>
      <c r="I12" s="351" t="s">
        <v>1401</v>
      </c>
      <c r="J12" s="351" t="s">
        <v>3710</v>
      </c>
      <c r="K12" s="354">
        <v>906302</v>
      </c>
      <c r="L12" s="355">
        <v>905922</v>
      </c>
      <c r="M12" s="354">
        <v>906317</v>
      </c>
      <c r="N12" s="355">
        <v>911045</v>
      </c>
      <c r="O12" s="355">
        <v>894953</v>
      </c>
      <c r="P12" s="355">
        <v>904923</v>
      </c>
      <c r="Q12" s="355">
        <v>904742</v>
      </c>
      <c r="R12" s="355">
        <v>886396</v>
      </c>
      <c r="S12" s="355">
        <v>853730</v>
      </c>
      <c r="T12" s="355">
        <v>848590</v>
      </c>
      <c r="U12" s="59">
        <f t="shared" si="2"/>
        <v>848590</v>
      </c>
      <c r="V12" s="59">
        <f t="shared" si="3"/>
        <v>911045</v>
      </c>
      <c r="W12" s="59">
        <f t="shared" si="4"/>
        <v>892292</v>
      </c>
      <c r="X12" s="60">
        <f t="shared" si="5"/>
        <v>93.63214469349069</v>
      </c>
      <c r="Y12" s="65">
        <v>11</v>
      </c>
      <c r="Z12" s="65" t="str">
        <f>_xlfn.IFERROR(INDEX('Tabela PW'!$C:$F,'Słownik PW'!C12,1),"")</f>
        <v>Żwir, otoczaki, gruby żwir i krzemień w rodzaju stosowanych jako kruszywo do betonu, tłuczeń drogowy lub podsypka torów kolejowych</v>
      </c>
      <c r="AA12" s="65" t="str">
        <f>_xlfn.IFERROR(INDEX('Tabela PW'!$C:$F,'Słownik PW'!C12,4),"")</f>
        <v>t</v>
      </c>
      <c r="AB12" s="65" t="str">
        <f t="shared" si="1"/>
        <v>Żwir, otoczaki, gruby żwir i krzemień w rodzaju stosowanych jako kruszywo do betonu, tłuczeń drogowy lub podsypka torów kolejowych - (JM  t)</v>
      </c>
      <c r="AC12" s="65">
        <f>_xlfn.IFERROR(INDEX('Tabela PW'!$K:$K,'Słownik PW'!C12,1),"")</f>
        <v>40742802</v>
      </c>
      <c r="AD12" s="65">
        <f>_xlfn.IFERROR(INDEX('Tabela PW'!$L:$L,'Słownik PW'!C12,1),"")</f>
        <v>53448766</v>
      </c>
      <c r="AE12" s="65">
        <f>_xlfn.IFERROR(INDEX('Tabela PW'!$M:$M,'Słownik PW'!C12,1),"")</f>
        <v>36913811</v>
      </c>
      <c r="AF12" s="65">
        <f>_xlfn.IFERROR(INDEX('Tabela PW'!$N:$N,'Słownik PW'!C12,1),"")</f>
        <v>36483388</v>
      </c>
      <c r="AG12" s="65">
        <f>_xlfn.IFERROR(INDEX('Tabela PW'!$O:$O,'Słownik PW'!C12,1),"")</f>
        <v>36247838</v>
      </c>
      <c r="AH12" s="65">
        <f>_xlfn.IFERROR(INDEX('Tabela PW'!$P:$P,'Słownik PW'!C12,1),"")</f>
        <v>37766698</v>
      </c>
      <c r="AI12" s="65">
        <f>_xlfn.IFERROR(INDEX('Tabela PW'!$Q:$Q,'Słownik PW'!C12,1),"")</f>
        <v>37238019</v>
      </c>
      <c r="AJ12" s="65">
        <f>_xlfn.IFERROR(INDEX('Tabela PW'!$R:$R,'Słownik PW'!C12,1),"")</f>
        <v>44840171</v>
      </c>
      <c r="AK12" s="65">
        <f>_xlfn.IFERROR(INDEX('Tabela PW'!$S:$S,'Słownik PW'!C12,1),"")</f>
        <v>43214503</v>
      </c>
      <c r="AL12" s="65">
        <f>_xlfn.IFERROR(INDEX('Tabela PW'!$T:$T,'Słownik PW'!C12,1),"")</f>
        <v>51915267</v>
      </c>
      <c r="AM12" s="65">
        <f>_xlfn.IFERROR(INDEX('Tabela PW'!$U:$X,'Słownik PW'!C12,1),"")</f>
        <v>36247838</v>
      </c>
      <c r="AN12" s="65">
        <f>_xlfn.IFERROR(INDEX('Tabela PW'!$U:$X,'Słownik PW'!C12,2),"")</f>
        <v>53448766</v>
      </c>
      <c r="AO12" s="66">
        <f>_xlfn.IFERROR(INDEX('Tabela PW'!$U:$X,'Słownik PW'!C12,3),"")</f>
        <v>41881126.3</v>
      </c>
      <c r="AP12" s="67">
        <f>_xlfn.IFERROR(INDEX('Tabela PW'!$U:$X,'Słownik PW'!C12,4),"")</f>
        <v>127.42193578144183</v>
      </c>
      <c r="AQ12" s="66" t="str">
        <f>_xlfn.IFERROR(INDEX('Tabela PW'!$U:$X,'Słownik PW'!C12,5),"")</f>
        <v/>
      </c>
      <c r="AR12" s="67" t="str">
        <f>_xlfn.IFERROR(INDEX('Tabela PW'!$U:$X,'Słownik PW'!C12,6),"")</f>
        <v/>
      </c>
      <c r="AS12" s="67" t="str">
        <f>_xlfn.IFERROR(INDEX('Tabela PW'!$U:$X,'Słownik PW'!C12,7),"")</f>
        <v/>
      </c>
      <c r="AT12" s="65">
        <f>BD2</f>
        <v>3392193</v>
      </c>
      <c r="AU12" s="65"/>
      <c r="AV12" s="65"/>
      <c r="AW12" s="65"/>
      <c r="AX12" s="65"/>
      <c r="AY12" s="65"/>
      <c r="AZ12" s="65"/>
      <c r="BA12" s="65"/>
      <c r="BB12" s="65"/>
      <c r="BC12" s="65"/>
      <c r="BD12" s="65"/>
      <c r="BE12" s="65">
        <v>2019</v>
      </c>
      <c r="BF12" s="65"/>
      <c r="BG12" s="65"/>
      <c r="BH12" s="68"/>
      <c r="BI12" s="65"/>
    </row>
    <row r="13" spans="1:61" ht="15">
      <c r="A13" s="4" t="s">
        <v>33</v>
      </c>
      <c r="B13" s="5" t="s">
        <v>665</v>
      </c>
      <c r="C13" s="49" t="s">
        <v>36</v>
      </c>
      <c r="D13" s="349">
        <f t="shared" si="0"/>
        <v>18</v>
      </c>
      <c r="E13" s="350" t="s">
        <v>718</v>
      </c>
      <c r="F13" s="51" t="s">
        <v>37</v>
      </c>
      <c r="G13" s="351" t="s">
        <v>675</v>
      </c>
      <c r="H13" s="351" t="s">
        <v>1402</v>
      </c>
      <c r="I13" s="351" t="s">
        <v>1403</v>
      </c>
      <c r="J13" s="351" t="s">
        <v>3711</v>
      </c>
      <c r="K13" s="354">
        <v>1181827</v>
      </c>
      <c r="L13" s="355">
        <v>1166589</v>
      </c>
      <c r="M13" s="354">
        <v>1148994</v>
      </c>
      <c r="N13" s="355">
        <v>1200063</v>
      </c>
      <c r="O13" s="355">
        <v>1187042</v>
      </c>
      <c r="P13" s="355">
        <v>1210013</v>
      </c>
      <c r="Q13" s="355">
        <v>1266495</v>
      </c>
      <c r="R13" s="355">
        <v>1291769</v>
      </c>
      <c r="S13" s="355">
        <v>1265475</v>
      </c>
      <c r="T13" s="355">
        <v>1249887</v>
      </c>
      <c r="U13" s="59">
        <f t="shared" si="2"/>
        <v>1148994</v>
      </c>
      <c r="V13" s="59">
        <f t="shared" si="3"/>
        <v>1291769</v>
      </c>
      <c r="W13" s="59">
        <f t="shared" si="4"/>
        <v>1216815.4</v>
      </c>
      <c r="X13" s="60">
        <f t="shared" si="5"/>
        <v>105.75888010681767</v>
      </c>
      <c r="Y13" s="65">
        <v>12</v>
      </c>
      <c r="Z13" s="65" t="str">
        <f>_xlfn.IFERROR(INDEX('Tabela PW'!$C:$F,'Słownik PW'!C13,1),"")</f>
        <v>Tłuczeń kamienny w rodzaju stosowanego jako kruszywo do betonu, tłuczeń drogowy lub do innych celów budowlanych (kruszywo mineralne łamane zwykłe)</v>
      </c>
      <c r="AA13" s="65" t="str">
        <f>_xlfn.IFERROR(INDEX('Tabela PW'!$C:$F,'Słownik PW'!C13,4),"")</f>
        <v>t</v>
      </c>
      <c r="AB13" s="65" t="str">
        <f t="shared" si="1"/>
        <v>Tłuczeń kamienny w rodzaju stosowanego jako kruszywo do betonu, tłuczeń drogowy lub do innych celów budowlanych (kruszywo mineralne łamane zwykłe) - (JM  t)</v>
      </c>
      <c r="AC13" s="65">
        <f>_xlfn.IFERROR(INDEX('Tabela PW'!$K:$K,'Słownik PW'!C13,1),"")</f>
        <v>58203741</v>
      </c>
      <c r="AD13" s="65">
        <f>_xlfn.IFERROR(INDEX('Tabela PW'!$L:$L,'Słownik PW'!C13,1),"")</f>
        <v>83037605</v>
      </c>
      <c r="AE13" s="65">
        <f>_xlfn.IFERROR(INDEX('Tabela PW'!$M:$M,'Słownik PW'!C13,1),"")</f>
        <v>61804944</v>
      </c>
      <c r="AF13" s="65">
        <f>_xlfn.IFERROR(INDEX('Tabela PW'!$N:$N,'Słownik PW'!C13,1),"")</f>
        <v>54192819</v>
      </c>
      <c r="AG13" s="65">
        <f>_xlfn.IFERROR(INDEX('Tabela PW'!$O:$O,'Słownik PW'!C13,1),"")</f>
        <v>57167615</v>
      </c>
      <c r="AH13" s="65">
        <f>_xlfn.IFERROR(INDEX('Tabela PW'!$P:$P,'Słownik PW'!C13,1),"")</f>
        <v>57529537</v>
      </c>
      <c r="AI13" s="65">
        <f>_xlfn.IFERROR(INDEX('Tabela PW'!$Q:$Q,'Słownik PW'!C13,1),"")</f>
        <v>56324657</v>
      </c>
      <c r="AJ13" s="65">
        <f>_xlfn.IFERROR(INDEX('Tabela PW'!$R:$R,'Słownik PW'!C13,1),"")</f>
        <v>64418641</v>
      </c>
      <c r="AK13" s="65">
        <f>_xlfn.IFERROR(INDEX('Tabela PW'!$S:$S,'Słownik PW'!C13,1),"")</f>
        <v>76694626</v>
      </c>
      <c r="AL13" s="65">
        <f>_xlfn.IFERROR(INDEX('Tabela PW'!$T:$T,'Słownik PW'!C13,1),"")</f>
        <v>78143958</v>
      </c>
      <c r="AM13" s="65">
        <f>_xlfn.IFERROR(INDEX('Tabela PW'!$U:$X,'Słownik PW'!C13,1),"")</f>
        <v>54192819</v>
      </c>
      <c r="AN13" s="65">
        <f>_xlfn.IFERROR(INDEX('Tabela PW'!$U:$X,'Słownik PW'!C13,2),"")</f>
        <v>83037605</v>
      </c>
      <c r="AO13" s="66">
        <f>_xlfn.IFERROR(INDEX('Tabela PW'!$U:$X,'Słownik PW'!C13,3),"")</f>
        <v>64751814.3</v>
      </c>
      <c r="AP13" s="67">
        <f>_xlfn.IFERROR(INDEX('Tabela PW'!$U:$X,'Słownik PW'!C13,4),"")</f>
        <v>134.2593391033061</v>
      </c>
      <c r="AQ13" s="66" t="str">
        <f>_xlfn.IFERROR(INDEX('Tabela PW'!$U:$X,'Słownik PW'!C13,5),"")</f>
        <v/>
      </c>
      <c r="AR13" s="67" t="str">
        <f>_xlfn.IFERROR(INDEX('Tabela PW'!$U:$X,'Słownik PW'!C13,6),"")</f>
        <v/>
      </c>
      <c r="AS13" s="67" t="str">
        <f>_xlfn.IFERROR(INDEX('Tabela PW'!$U:$X,'Słownik PW'!C13,7),"")</f>
        <v/>
      </c>
      <c r="AT13" s="65"/>
      <c r="AU13" s="65"/>
      <c r="AV13" s="65"/>
      <c r="AW13" s="65"/>
      <c r="AX13" s="65"/>
      <c r="AY13" s="65"/>
      <c r="AZ13" s="65"/>
      <c r="BA13" s="65"/>
      <c r="BB13" s="65"/>
      <c r="BC13" s="65"/>
      <c r="BD13" s="65"/>
      <c r="BE13" s="65"/>
      <c r="BF13" s="65"/>
      <c r="BG13" s="65"/>
      <c r="BH13" s="68"/>
      <c r="BI13" s="65"/>
    </row>
    <row r="14" spans="1:61" ht="15">
      <c r="A14" s="4" t="s">
        <v>33</v>
      </c>
      <c r="B14" s="5" t="s">
        <v>665</v>
      </c>
      <c r="C14" s="49" t="s">
        <v>36</v>
      </c>
      <c r="D14" s="349">
        <f t="shared" si="0"/>
        <v>18</v>
      </c>
      <c r="E14" s="350" t="s">
        <v>719</v>
      </c>
      <c r="F14" s="51" t="s">
        <v>25</v>
      </c>
      <c r="G14" s="351" t="s">
        <v>683</v>
      </c>
      <c r="H14" s="351" t="s">
        <v>1404</v>
      </c>
      <c r="I14" s="351" t="s">
        <v>1405</v>
      </c>
      <c r="J14" s="351" t="s">
        <v>3712</v>
      </c>
      <c r="K14" s="354">
        <v>1842502</v>
      </c>
      <c r="L14" s="355">
        <v>1876648</v>
      </c>
      <c r="M14" s="354">
        <v>1861943</v>
      </c>
      <c r="N14" s="355">
        <v>1857638</v>
      </c>
      <c r="O14" s="355">
        <v>1843446</v>
      </c>
      <c r="P14" s="355">
        <v>1860135</v>
      </c>
      <c r="Q14" s="355">
        <v>1867123</v>
      </c>
      <c r="R14" s="355">
        <v>1834329</v>
      </c>
      <c r="S14" s="355">
        <v>1762343</v>
      </c>
      <c r="T14" s="355">
        <v>1764625</v>
      </c>
      <c r="U14" s="59">
        <f t="shared" si="2"/>
        <v>1762343</v>
      </c>
      <c r="V14" s="59">
        <f t="shared" si="3"/>
        <v>1876648</v>
      </c>
      <c r="W14" s="59">
        <f t="shared" si="4"/>
        <v>1837073.2</v>
      </c>
      <c r="X14" s="60">
        <f t="shared" si="5"/>
        <v>95.77330173861412</v>
      </c>
      <c r="Y14" s="65">
        <v>13</v>
      </c>
      <c r="Z14" s="65" t="str">
        <f>_xlfn.IFERROR(INDEX('Tabela PW'!$C:$F,'Słownik PW'!C14,1),"")</f>
        <v>Granulki, odłamki i proszek kamienny (trawertyn, ekausyna, granit, porfir, bazalt, piaskowiec i pozostały kamień pomnikowy)</v>
      </c>
      <c r="AA14" s="65" t="str">
        <f>_xlfn.IFERROR(INDEX('Tabela PW'!$C:$F,'Słownik PW'!C14,4),"")</f>
        <v>t</v>
      </c>
      <c r="AB14" s="65" t="str">
        <f t="shared" si="1"/>
        <v>Granulki, odłamki i proszek kamienny (trawertyn, ekausyna, granit, porfir, bazalt, piaskowiec i pozostały kamień pomnikowy) - (JM  t)</v>
      </c>
      <c r="AC14" s="65">
        <f>_xlfn.IFERROR(INDEX('Tabela PW'!$K:$K,'Słownik PW'!C14,1),"")</f>
        <v>4637821</v>
      </c>
      <c r="AD14" s="65">
        <f>_xlfn.IFERROR(INDEX('Tabela PW'!$L:$L,'Słownik PW'!C14,1),"")</f>
        <v>5625917</v>
      </c>
      <c r="AE14" s="65">
        <f>_xlfn.IFERROR(INDEX('Tabela PW'!$M:$M,'Słownik PW'!C14,1),"")</f>
        <v>3033811</v>
      </c>
      <c r="AF14" s="65">
        <f>_xlfn.IFERROR(INDEX('Tabela PW'!$N:$N,'Słownik PW'!C14,1),"")</f>
        <v>3648898</v>
      </c>
      <c r="AG14" s="65">
        <f>_xlfn.IFERROR(INDEX('Tabela PW'!$O:$O,'Słownik PW'!C14,1),"")</f>
        <v>3923432</v>
      </c>
      <c r="AH14" s="65">
        <f>_xlfn.IFERROR(INDEX('Tabela PW'!$P:$P,'Słownik PW'!C14,1),"")</f>
        <v>3135835</v>
      </c>
      <c r="AI14" s="65">
        <f>_xlfn.IFERROR(INDEX('Tabela PW'!$Q:$Q,'Słownik PW'!C14,1),"")</f>
        <v>3122977</v>
      </c>
      <c r="AJ14" s="65">
        <f>_xlfn.IFERROR(INDEX('Tabela PW'!$R:$R,'Słownik PW'!C14,1),"")</f>
        <v>3197932</v>
      </c>
      <c r="AK14" s="65">
        <f>_xlfn.IFERROR(INDEX('Tabela PW'!$S:$S,'Słownik PW'!C14,1),"")</f>
        <v>3466111</v>
      </c>
      <c r="AL14" s="65">
        <f>_xlfn.IFERROR(INDEX('Tabela PW'!$T:$T,'Słownik PW'!C14,1),"")</f>
        <v>3418470</v>
      </c>
      <c r="AM14" s="65">
        <f>_xlfn.IFERROR(INDEX('Tabela PW'!$U:$X,'Słownik PW'!C14,1),"")</f>
        <v>3033811</v>
      </c>
      <c r="AN14" s="65">
        <f>_xlfn.IFERROR(INDEX('Tabela PW'!$U:$X,'Słownik PW'!C14,2),"")</f>
        <v>5625917</v>
      </c>
      <c r="AO14" s="66">
        <f>_xlfn.IFERROR(INDEX('Tabela PW'!$U:$X,'Słownik PW'!C14,3),"")</f>
        <v>3721120.4</v>
      </c>
      <c r="AP14" s="67">
        <f>_xlfn.IFERROR(INDEX('Tabela PW'!$U:$X,'Słownik PW'!C14,4),"")</f>
        <v>73.70853683227533</v>
      </c>
      <c r="AQ14" s="66" t="str">
        <f>_xlfn.IFERROR(INDEX('Tabela PW'!$U:$X,'Słownik PW'!C14,5),"")</f>
        <v/>
      </c>
      <c r="AR14" s="67" t="str">
        <f>_xlfn.IFERROR(INDEX('Tabela PW'!$U:$X,'Słownik PW'!C14,6),"")</f>
        <v/>
      </c>
      <c r="AS14" s="67" t="str">
        <f>_xlfn.IFERROR(INDEX('Tabela PW'!$U:$X,'Słownik PW'!C14,7),"")</f>
        <v/>
      </c>
      <c r="AT14" s="65"/>
      <c r="AU14" s="65"/>
      <c r="AV14" s="65"/>
      <c r="AW14" s="65"/>
      <c r="AX14" s="65"/>
      <c r="AY14" s="65"/>
      <c r="AZ14" s="65"/>
      <c r="BA14" s="65"/>
      <c r="BB14" s="65"/>
      <c r="BC14" s="65"/>
      <c r="BD14" s="65"/>
      <c r="BE14" s="65"/>
      <c r="BF14" s="65"/>
      <c r="BG14" s="65"/>
      <c r="BH14" s="68"/>
      <c r="BI14" s="65"/>
    </row>
    <row r="15" spans="1:61" ht="15">
      <c r="A15" s="4" t="s">
        <v>33</v>
      </c>
      <c r="B15" s="5" t="s">
        <v>665</v>
      </c>
      <c r="C15" s="49" t="s">
        <v>36</v>
      </c>
      <c r="D15" s="349">
        <f t="shared" si="0"/>
        <v>18</v>
      </c>
      <c r="E15" s="350" t="s">
        <v>720</v>
      </c>
      <c r="F15" s="51" t="s">
        <v>35</v>
      </c>
      <c r="G15" s="351" t="s">
        <v>663</v>
      </c>
      <c r="H15" s="351" t="s">
        <v>1406</v>
      </c>
      <c r="I15" s="351" t="s">
        <v>1407</v>
      </c>
      <c r="J15" s="351" t="s">
        <v>3713</v>
      </c>
      <c r="K15" s="354">
        <v>425725</v>
      </c>
      <c r="L15" s="355">
        <v>426665</v>
      </c>
      <c r="M15" s="354">
        <v>427064</v>
      </c>
      <c r="N15" s="355">
        <v>429275</v>
      </c>
      <c r="O15" s="355">
        <v>421695</v>
      </c>
      <c r="P15" s="355">
        <v>426196</v>
      </c>
      <c r="Q15" s="355">
        <v>424704</v>
      </c>
      <c r="R15" s="355">
        <v>419603</v>
      </c>
      <c r="S15" s="355">
        <v>401696</v>
      </c>
      <c r="T15" s="355">
        <v>399306</v>
      </c>
      <c r="U15" s="59">
        <f t="shared" si="2"/>
        <v>399306</v>
      </c>
      <c r="V15" s="59">
        <f t="shared" si="3"/>
        <v>429275</v>
      </c>
      <c r="W15" s="59">
        <f t="shared" si="4"/>
        <v>420192.9</v>
      </c>
      <c r="X15" s="60">
        <f t="shared" si="5"/>
        <v>93.79435081331846</v>
      </c>
      <c r="Y15" s="65">
        <v>14</v>
      </c>
      <c r="Z15" s="65" t="str">
        <f>_xlfn.IFERROR(INDEX('Tabela PW'!$C:$F,'Słownik PW'!C15,1),"")</f>
        <v>Kaolin i gliny kaolinowe</v>
      </c>
      <c r="AA15" s="65" t="str">
        <f>_xlfn.IFERROR(INDEX('Tabela PW'!$C:$F,'Słownik PW'!C15,4),"")</f>
        <v>t</v>
      </c>
      <c r="AB15" s="65" t="str">
        <f t="shared" si="1"/>
        <v>Kaolin i gliny kaolinowe - (JM  t)</v>
      </c>
      <c r="AC15" s="65">
        <f>_xlfn.IFERROR(INDEX('Tabela PW'!$K:$K,'Słownik PW'!C15,1),"")</f>
        <v>196566</v>
      </c>
      <c r="AD15" s="65">
        <f>_xlfn.IFERROR(INDEX('Tabela PW'!$L:$L,'Słownik PW'!C15,1),"")</f>
        <v>212473</v>
      </c>
      <c r="AE15" s="65">
        <f>_xlfn.IFERROR(INDEX('Tabela PW'!$M:$M,'Słownik PW'!C15,1),"")</f>
        <v>169153</v>
      </c>
      <c r="AF15" s="65">
        <f>_xlfn.IFERROR(INDEX('Tabela PW'!$N:$N,'Słownik PW'!C15,1),"")</f>
        <v>200976</v>
      </c>
      <c r="AG15" s="65">
        <f>_xlfn.IFERROR(INDEX('Tabela PW'!$O:$O,'Słownik PW'!C15,1),"")</f>
        <v>198500</v>
      </c>
      <c r="AH15" s="65">
        <f>_xlfn.IFERROR(INDEX('Tabela PW'!$P:$P,'Słownik PW'!C15,1),"")</f>
        <v>172291</v>
      </c>
      <c r="AI15" s="65">
        <f>_xlfn.IFERROR(INDEX('Tabela PW'!$Q:$Q,'Słownik PW'!C15,1),"")</f>
        <v>176012</v>
      </c>
      <c r="AJ15" s="65">
        <f>_xlfn.IFERROR(INDEX('Tabela PW'!$R:$R,'Słownik PW'!C15,1),"")</f>
        <v>177051</v>
      </c>
      <c r="AK15" s="65">
        <f>_xlfn.IFERROR(INDEX('Tabela PW'!$S:$S,'Słownik PW'!C15,1),"")</f>
        <v>192447</v>
      </c>
      <c r="AL15" s="65">
        <f>_xlfn.IFERROR(INDEX('Tabela PW'!$T:$T,'Słownik PW'!C15,1),"")</f>
        <v>187184</v>
      </c>
      <c r="AM15" s="65">
        <f>_xlfn.IFERROR(INDEX('Tabela PW'!$U:$X,'Słownik PW'!C15,1),"")</f>
        <v>169153</v>
      </c>
      <c r="AN15" s="65">
        <f>_xlfn.IFERROR(INDEX('Tabela PW'!$U:$X,'Słownik PW'!C15,2),"")</f>
        <v>212473</v>
      </c>
      <c r="AO15" s="66">
        <f>_xlfn.IFERROR(INDEX('Tabela PW'!$U:$X,'Słownik PW'!C15,3),"")</f>
        <v>188265.3</v>
      </c>
      <c r="AP15" s="67">
        <f>_xlfn.IFERROR(INDEX('Tabela PW'!$U:$X,'Słownik PW'!C15,4),"")</f>
        <v>95.22704842139535</v>
      </c>
      <c r="AQ15" s="66" t="str">
        <f>_xlfn.IFERROR(INDEX('Tabela PW'!$U:$X,'Słownik PW'!C15,5),"")</f>
        <v/>
      </c>
      <c r="AR15" s="67" t="str">
        <f>_xlfn.IFERROR(INDEX('Tabela PW'!$U:$X,'Słownik PW'!C15,6),"")</f>
        <v/>
      </c>
      <c r="AS15" s="67" t="str">
        <f>_xlfn.IFERROR(INDEX('Tabela PW'!$U:$X,'Słownik PW'!C15,7),"")</f>
        <v/>
      </c>
      <c r="AT15" s="65"/>
      <c r="AU15" s="65"/>
      <c r="AV15" s="65"/>
      <c r="AW15" s="65"/>
      <c r="AX15" s="65"/>
      <c r="AY15" s="65"/>
      <c r="AZ15" s="65"/>
      <c r="BA15" s="65"/>
      <c r="BB15" s="65"/>
      <c r="BC15" s="65"/>
      <c r="BD15" s="65"/>
      <c r="BE15" s="65"/>
      <c r="BF15" s="65"/>
      <c r="BG15" s="65"/>
      <c r="BH15" s="68"/>
      <c r="BI15" s="65"/>
    </row>
    <row r="16" spans="1:61" ht="15">
      <c r="A16" s="4" t="s">
        <v>33</v>
      </c>
      <c r="B16" s="5" t="s">
        <v>665</v>
      </c>
      <c r="C16" s="49" t="s">
        <v>38</v>
      </c>
      <c r="D16" s="349">
        <f t="shared" si="0"/>
        <v>25</v>
      </c>
      <c r="E16" s="350" t="s">
        <v>721</v>
      </c>
      <c r="F16" s="51" t="s">
        <v>25</v>
      </c>
      <c r="G16" s="351" t="s">
        <v>683</v>
      </c>
      <c r="H16" s="351" t="s">
        <v>1408</v>
      </c>
      <c r="I16" s="351" t="s">
        <v>1409</v>
      </c>
      <c r="J16" s="351" t="s">
        <v>3714</v>
      </c>
      <c r="K16" s="354">
        <v>62173</v>
      </c>
      <c r="L16" s="355">
        <v>53554</v>
      </c>
      <c r="M16" s="354">
        <v>57007</v>
      </c>
      <c r="N16" s="355">
        <v>25487</v>
      </c>
      <c r="O16" s="355">
        <v>22958</v>
      </c>
      <c r="P16" s="355">
        <v>17885</v>
      </c>
      <c r="Q16" s="356" t="s">
        <v>4569</v>
      </c>
      <c r="R16" s="355" t="s">
        <v>4569</v>
      </c>
      <c r="S16" s="355" t="s">
        <v>4569</v>
      </c>
      <c r="T16" s="355" t="s">
        <v>4569</v>
      </c>
      <c r="U16" s="59">
        <f t="shared" si="2"/>
        <v>17885</v>
      </c>
      <c r="V16" s="59">
        <f t="shared" si="3"/>
        <v>62173</v>
      </c>
      <c r="W16" s="59">
        <f t="shared" si="4"/>
        <v>39844</v>
      </c>
      <c r="X16" s="60" t="str">
        <f t="shared" si="5"/>
        <v>-</v>
      </c>
      <c r="Y16" s="65">
        <v>15</v>
      </c>
      <c r="Z16" s="65" t="str">
        <f>_xlfn.IFERROR(INDEX('Tabela PW'!$C:$F,'Słownik PW'!C16,1),"")</f>
        <v>Glina ogniotrwała</v>
      </c>
      <c r="AA16" s="65" t="str">
        <f>_xlfn.IFERROR(INDEX('Tabela PW'!$C:$F,'Słownik PW'!C16,4),"")</f>
        <v>t</v>
      </c>
      <c r="AB16" s="65" t="str">
        <f t="shared" si="1"/>
        <v>Glina ogniotrwała - (JM  t)</v>
      </c>
      <c r="AC16" s="65">
        <f>_xlfn.IFERROR(INDEX('Tabela PW'!$K:$K,'Słownik PW'!C16,1),"")</f>
        <v>106908</v>
      </c>
      <c r="AD16" s="65">
        <f>_xlfn.IFERROR(INDEX('Tabela PW'!$L:$L,'Słownik PW'!C16,1),"")</f>
        <v>174080</v>
      </c>
      <c r="AE16" s="65">
        <f>_xlfn.IFERROR(INDEX('Tabela PW'!$M:$M,'Słownik PW'!C16,1),"")</f>
        <v>149521</v>
      </c>
      <c r="AF16" s="65">
        <f>_xlfn.IFERROR(INDEX('Tabela PW'!$N:$N,'Słownik PW'!C16,1),"")</f>
        <v>154850</v>
      </c>
      <c r="AG16" s="65">
        <f>_xlfn.IFERROR(INDEX('Tabela PW'!$O:$O,'Słownik PW'!C16,1),"")</f>
        <v>138644</v>
      </c>
      <c r="AH16" s="65">
        <f>_xlfn.IFERROR(INDEX('Tabela PW'!$P:$P,'Słownik PW'!C16,1),"")</f>
        <v>145082</v>
      </c>
      <c r="AI16" s="65">
        <f>_xlfn.IFERROR(INDEX('Tabela PW'!$Q:$Q,'Słownik PW'!C16,1),"")</f>
        <v>125350</v>
      </c>
      <c r="AJ16" s="65">
        <f>_xlfn.IFERROR(INDEX('Tabela PW'!$R:$R,'Słownik PW'!C16,1),"")</f>
        <v>107447</v>
      </c>
      <c r="AK16" s="65">
        <f>_xlfn.IFERROR(INDEX('Tabela PW'!$S:$S,'Słownik PW'!C16,1),"")</f>
        <v>118970</v>
      </c>
      <c r="AL16" s="65">
        <f>_xlfn.IFERROR(INDEX('Tabela PW'!$T:$T,'Słownik PW'!C16,1),"")</f>
        <v>97916</v>
      </c>
      <c r="AM16" s="65">
        <f>_xlfn.IFERROR(INDEX('Tabela PW'!$U:$X,'Słownik PW'!C16,1),"")</f>
        <v>97916</v>
      </c>
      <c r="AN16" s="65">
        <f>_xlfn.IFERROR(INDEX('Tabela PW'!$U:$X,'Słownik PW'!C16,2),"")</f>
        <v>174080</v>
      </c>
      <c r="AO16" s="66">
        <f>_xlfn.IFERROR(INDEX('Tabela PW'!$U:$X,'Słownik PW'!C16,3),"")</f>
        <v>131876.8</v>
      </c>
      <c r="AP16" s="67">
        <f>_xlfn.IFERROR(INDEX('Tabela PW'!$U:$X,'Słownik PW'!C16,4),"")</f>
        <v>91.58902982003218</v>
      </c>
      <c r="AQ16" s="66" t="str">
        <f>_xlfn.IFERROR(INDEX('Tabela PW'!$U:$X,'Słownik PW'!C16,5),"")</f>
        <v/>
      </c>
      <c r="AR16" s="67" t="str">
        <f>_xlfn.IFERROR(INDEX('Tabela PW'!$U:$X,'Słownik PW'!C16,6),"")</f>
        <v/>
      </c>
      <c r="AS16" s="67" t="str">
        <f>_xlfn.IFERROR(INDEX('Tabela PW'!$U:$X,'Słownik PW'!C16,7),"")</f>
        <v/>
      </c>
      <c r="AT16" s="65"/>
      <c r="AU16" s="65"/>
      <c r="AV16" s="65"/>
      <c r="AW16" s="65"/>
      <c r="AX16" s="65"/>
      <c r="AY16" s="65"/>
      <c r="AZ16" s="65"/>
      <c r="BA16" s="65"/>
      <c r="BB16" s="65"/>
      <c r="BC16" s="65"/>
      <c r="BD16" s="65"/>
      <c r="BE16" s="65"/>
      <c r="BF16" s="65"/>
      <c r="BG16" s="65"/>
      <c r="BH16" s="68"/>
      <c r="BI16" s="65"/>
    </row>
    <row r="17" spans="1:61" ht="15">
      <c r="A17" s="4" t="s">
        <v>33</v>
      </c>
      <c r="B17" s="5" t="s">
        <v>665</v>
      </c>
      <c r="C17" s="49" t="s">
        <v>38</v>
      </c>
      <c r="D17" s="349">
        <f t="shared" si="0"/>
        <v>25</v>
      </c>
      <c r="E17" s="350" t="s">
        <v>722</v>
      </c>
      <c r="F17" s="51" t="s">
        <v>39</v>
      </c>
      <c r="G17" s="351" t="s">
        <v>698</v>
      </c>
      <c r="H17" s="351" t="s">
        <v>1410</v>
      </c>
      <c r="I17" s="351" t="s">
        <v>1411</v>
      </c>
      <c r="J17" s="351" t="s">
        <v>3715</v>
      </c>
      <c r="K17" s="354">
        <v>35779</v>
      </c>
      <c r="L17" s="355">
        <v>30968</v>
      </c>
      <c r="M17" s="354">
        <v>32553</v>
      </c>
      <c r="N17" s="355">
        <v>15252</v>
      </c>
      <c r="O17" s="355">
        <v>14275</v>
      </c>
      <c r="P17" s="355">
        <v>11206</v>
      </c>
      <c r="Q17" s="356" t="s">
        <v>4569</v>
      </c>
      <c r="R17" s="355" t="s">
        <v>4569</v>
      </c>
      <c r="S17" s="355" t="s">
        <v>4569</v>
      </c>
      <c r="T17" s="355" t="s">
        <v>4569</v>
      </c>
      <c r="U17" s="59">
        <f t="shared" si="2"/>
        <v>11206</v>
      </c>
      <c r="V17" s="59">
        <f t="shared" si="3"/>
        <v>35779</v>
      </c>
      <c r="W17" s="59">
        <f t="shared" si="4"/>
        <v>23338.833333333332</v>
      </c>
      <c r="X17" s="60" t="str">
        <f t="shared" si="5"/>
        <v>-</v>
      </c>
      <c r="Y17" s="65">
        <v>16</v>
      </c>
      <c r="Z17" s="65" t="str">
        <f>_xlfn.IFERROR(INDEX('Tabela PW'!$C:$F,'Słownik PW'!C17,1),"")</f>
        <v>Glina ogniotrwała surowa</v>
      </c>
      <c r="AA17" s="65" t="str">
        <f>_xlfn.IFERROR(INDEX('Tabela PW'!$C:$F,'Słownik PW'!C17,4),"")</f>
        <v>t</v>
      </c>
      <c r="AB17" s="65" t="str">
        <f t="shared" si="1"/>
        <v>Glina ogniotrwała surowa - (JM  t)</v>
      </c>
      <c r="AC17" s="65">
        <f>_xlfn.IFERROR(INDEX('Tabela PW'!$K:$K,'Słownik PW'!C17,1),"")</f>
        <v>81667</v>
      </c>
      <c r="AD17" s="65">
        <f>_xlfn.IFERROR(INDEX('Tabela PW'!$L:$L,'Słownik PW'!C17,1),"")</f>
        <v>136380</v>
      </c>
      <c r="AE17" s="65">
        <f>_xlfn.IFERROR(INDEX('Tabela PW'!$M:$M,'Słownik PW'!C17,1),"")</f>
        <v>118878</v>
      </c>
      <c r="AF17" s="65">
        <f>_xlfn.IFERROR(INDEX('Tabela PW'!$N:$N,'Słownik PW'!C17,1),"")</f>
        <v>117505</v>
      </c>
      <c r="AG17" s="65">
        <f>_xlfn.IFERROR(INDEX('Tabela PW'!$O:$O,'Słownik PW'!C17,1),"")</f>
        <v>111455</v>
      </c>
      <c r="AH17" s="65">
        <f>_xlfn.IFERROR(INDEX('Tabela PW'!$P:$P,'Słownik PW'!C17,1),"")</f>
        <v>115922</v>
      </c>
      <c r="AI17" s="65">
        <f>_xlfn.IFERROR(INDEX('Tabela PW'!$Q:$Q,'Słownik PW'!C17,1),"")</f>
        <v>102807</v>
      </c>
      <c r="AJ17" s="65">
        <f>_xlfn.IFERROR(INDEX('Tabela PW'!$R:$R,'Słownik PW'!C17,1),"")</f>
        <v>89956</v>
      </c>
      <c r="AK17" s="65">
        <f>_xlfn.IFERROR(INDEX('Tabela PW'!$S:$S,'Słownik PW'!C17,1),"")</f>
        <v>98581</v>
      </c>
      <c r="AL17" s="65">
        <f>_xlfn.IFERROR(INDEX('Tabela PW'!$T:$T,'Słownik PW'!C17,1),"")</f>
        <v>82095</v>
      </c>
      <c r="AM17" s="65">
        <f>_xlfn.IFERROR(INDEX('Tabela PW'!$U:$X,'Słownik PW'!C17,1),"")</f>
        <v>81667</v>
      </c>
      <c r="AN17" s="65">
        <f>_xlfn.IFERROR(INDEX('Tabela PW'!$U:$X,'Słownik PW'!C17,2),"")</f>
        <v>136380</v>
      </c>
      <c r="AO17" s="66">
        <f>_xlfn.IFERROR(INDEX('Tabela PW'!$U:$X,'Słownik PW'!C17,3),"")</f>
        <v>105524.6</v>
      </c>
      <c r="AP17" s="67">
        <f>_xlfn.IFERROR(INDEX('Tabela PW'!$U:$X,'Słownik PW'!C17,4),"")</f>
        <v>100.52407949355309</v>
      </c>
      <c r="AQ17" s="66" t="str">
        <f>_xlfn.IFERROR(INDEX('Tabela PW'!$U:$X,'Słownik PW'!C17,5),"")</f>
        <v/>
      </c>
      <c r="AR17" s="67" t="str">
        <f>_xlfn.IFERROR(INDEX('Tabela PW'!$U:$X,'Słownik PW'!C17,6),"")</f>
        <v/>
      </c>
      <c r="AS17" s="67" t="str">
        <f>_xlfn.IFERROR(INDEX('Tabela PW'!$U:$X,'Słownik PW'!C17,7),"")</f>
        <v/>
      </c>
      <c r="AT17" s="65"/>
      <c r="AU17" s="65"/>
      <c r="AV17" s="65"/>
      <c r="AW17" s="65"/>
      <c r="AX17" s="65"/>
      <c r="AY17" s="65"/>
      <c r="AZ17" s="65"/>
      <c r="BA17" s="65"/>
      <c r="BB17" s="65"/>
      <c r="BC17" s="65"/>
      <c r="BD17" s="65"/>
      <c r="BE17" s="65"/>
      <c r="BF17" s="65"/>
      <c r="BG17" s="65"/>
      <c r="BH17" s="68"/>
      <c r="BI17" s="65"/>
    </row>
    <row r="18" spans="1:61" ht="15">
      <c r="A18" s="4" t="s">
        <v>40</v>
      </c>
      <c r="B18" s="5" t="s">
        <v>670</v>
      </c>
      <c r="C18" s="49" t="s">
        <v>41</v>
      </c>
      <c r="D18" s="349">
        <f t="shared" si="0"/>
        <v>83</v>
      </c>
      <c r="E18" s="350" t="s">
        <v>723</v>
      </c>
      <c r="F18" s="51" t="s">
        <v>25</v>
      </c>
      <c r="G18" s="351" t="s">
        <v>683</v>
      </c>
      <c r="H18" s="351" t="s">
        <v>1412</v>
      </c>
      <c r="I18" s="351" t="s">
        <v>1413</v>
      </c>
      <c r="J18" s="351" t="s">
        <v>3716</v>
      </c>
      <c r="K18" s="354">
        <v>1681895</v>
      </c>
      <c r="L18" s="355">
        <v>2140107</v>
      </c>
      <c r="M18" s="354">
        <v>1965704</v>
      </c>
      <c r="N18" s="355">
        <v>2147260</v>
      </c>
      <c r="O18" s="355">
        <v>2242172</v>
      </c>
      <c r="P18" s="355">
        <v>2390066</v>
      </c>
      <c r="Q18" s="355">
        <v>2200343</v>
      </c>
      <c r="R18" s="355">
        <v>2449293</v>
      </c>
      <c r="S18" s="355">
        <v>2567709</v>
      </c>
      <c r="T18" s="355">
        <v>2585122</v>
      </c>
      <c r="U18" s="59">
        <f t="shared" si="2"/>
        <v>1681895</v>
      </c>
      <c r="V18" s="59">
        <f t="shared" si="3"/>
        <v>2585122</v>
      </c>
      <c r="W18" s="59">
        <f t="shared" si="4"/>
        <v>2236967.1</v>
      </c>
      <c r="X18" s="60">
        <f t="shared" si="5"/>
        <v>153.70293627128925</v>
      </c>
      <c r="Y18" s="65">
        <v>17</v>
      </c>
      <c r="Z18" s="65" t="str">
        <f>_xlfn.IFERROR(INDEX('Tabela PW'!$C:$F,'Słownik PW'!C18,1),"")</f>
        <v>Łupki i gliny pospolite, do celów budowlanych, z wyłączeniem bentonitu, gliny ogniotrwałej, iłów porowatych, kaolinu i glin kaolinowych; andaluzyt, cyjanit i sylimanit, mulit, ziemie szamotowe lub dynasowe</v>
      </c>
      <c r="AA18" s="65" t="str">
        <f>_xlfn.IFERROR(INDEX('Tabela PW'!$C:$F,'Słownik PW'!C18,4),"")</f>
        <v>t</v>
      </c>
      <c r="AB18" s="65" t="str">
        <f t="shared" si="1"/>
        <v>Łupki i gliny pospolite, do celów budowlanych, z wyłączeniem bentonitu, gliny ogniotrwałej, iłów porowatych, kaolinu i glin kaolinowych; andaluzyt, cyjanit i sylimanit, mulit, ziemie szamotowe lub dynasowe - (JM  t)</v>
      </c>
      <c r="AC18" s="65">
        <f>_xlfn.IFERROR(INDEX('Tabela PW'!$K:$K,'Słownik PW'!C18,1),"")</f>
        <v>2048262</v>
      </c>
      <c r="AD18" s="65">
        <f>_xlfn.IFERROR(INDEX('Tabela PW'!$L:$L,'Słownik PW'!C18,1),"")</f>
        <v>3053106</v>
      </c>
      <c r="AE18" s="65">
        <f>_xlfn.IFERROR(INDEX('Tabela PW'!$M:$M,'Słownik PW'!C18,1),"")</f>
        <v>3784581</v>
      </c>
      <c r="AF18" s="65">
        <f>_xlfn.IFERROR(INDEX('Tabela PW'!$N:$N,'Słownik PW'!C18,1),"")</f>
        <v>2908096</v>
      </c>
      <c r="AG18" s="65">
        <f>_xlfn.IFERROR(INDEX('Tabela PW'!$O:$O,'Słownik PW'!C18,1),"")</f>
        <v>3703263</v>
      </c>
      <c r="AH18" s="65">
        <f>_xlfn.IFERROR(INDEX('Tabela PW'!$P:$P,'Słownik PW'!C18,1),"")</f>
        <v>5590598</v>
      </c>
      <c r="AI18" s="65">
        <f>_xlfn.IFERROR(INDEX('Tabela PW'!$Q:$Q,'Słownik PW'!C18,1),"")</f>
        <v>2070814</v>
      </c>
      <c r="AJ18" s="65">
        <f>_xlfn.IFERROR(INDEX('Tabela PW'!$R:$R,'Słownik PW'!C18,1),"")</f>
        <v>2033280</v>
      </c>
      <c r="AK18" s="65">
        <f>_xlfn.IFERROR(INDEX('Tabela PW'!$S:$S,'Słownik PW'!C18,1),"")</f>
        <v>3316910</v>
      </c>
      <c r="AL18" s="65" t="str">
        <f>_xlfn.IFERROR(INDEX('Tabela PW'!$T:$T,'Słownik PW'!C18,1),"")</f>
        <v>x</v>
      </c>
      <c r="AM18" s="65">
        <f>_xlfn.IFERROR(INDEX('Tabela PW'!$U:$X,'Słownik PW'!C18,1),"")</f>
        <v>2033280</v>
      </c>
      <c r="AN18" s="65">
        <f>_xlfn.IFERROR(INDEX('Tabela PW'!$U:$X,'Słownik PW'!C18,2),"")</f>
        <v>5590598</v>
      </c>
      <c r="AO18" s="66">
        <f>_xlfn.IFERROR(INDEX('Tabela PW'!$U:$X,'Słownik PW'!C18,3),"")</f>
        <v>3167656.6666666665</v>
      </c>
      <c r="AP18" s="67" t="str">
        <f>_xlfn.IFERROR(INDEX('Tabela PW'!$U:$X,'Słownik PW'!C18,4),"")</f>
        <v>-</v>
      </c>
      <c r="AQ18" s="66" t="str">
        <f>_xlfn.IFERROR(INDEX('Tabela PW'!$U:$X,'Słownik PW'!C18,5),"")</f>
        <v/>
      </c>
      <c r="AR18" s="67" t="str">
        <f>_xlfn.IFERROR(INDEX('Tabela PW'!$U:$X,'Słownik PW'!C18,6),"")</f>
        <v/>
      </c>
      <c r="AS18" s="67" t="str">
        <f>_xlfn.IFERROR(INDEX('Tabela PW'!$U:$X,'Słownik PW'!C18,7),"")</f>
        <v/>
      </c>
      <c r="AT18" s="65"/>
      <c r="AU18" s="65"/>
      <c r="AV18" s="65"/>
      <c r="AW18" s="65"/>
      <c r="AX18" s="65"/>
      <c r="AY18" s="65"/>
      <c r="AZ18" s="65"/>
      <c r="BA18" s="65"/>
      <c r="BB18" s="65"/>
      <c r="BC18" s="65"/>
      <c r="BD18" s="65"/>
      <c r="BE18" s="65"/>
      <c r="BF18" s="65"/>
      <c r="BG18" s="65"/>
      <c r="BH18" s="68"/>
      <c r="BI18" s="65"/>
    </row>
    <row r="19" spans="1:61" ht="15">
      <c r="A19" s="4" t="s">
        <v>40</v>
      </c>
      <c r="B19" s="5" t="s">
        <v>670</v>
      </c>
      <c r="C19" s="49" t="s">
        <v>42</v>
      </c>
      <c r="D19" s="349">
        <f t="shared" si="0"/>
        <v>7</v>
      </c>
      <c r="E19" s="350" t="s">
        <v>724</v>
      </c>
      <c r="F19" s="51" t="s">
        <v>25</v>
      </c>
      <c r="G19" s="351" t="s">
        <v>683</v>
      </c>
      <c r="H19" s="351" t="s">
        <v>1414</v>
      </c>
      <c r="I19" s="351" t="s">
        <v>1415</v>
      </c>
      <c r="J19" s="351" t="s">
        <v>3717</v>
      </c>
      <c r="K19" s="354">
        <v>34156</v>
      </c>
      <c r="L19" s="355">
        <v>46475</v>
      </c>
      <c r="M19" s="354">
        <v>53206</v>
      </c>
      <c r="N19" s="355">
        <v>88314</v>
      </c>
      <c r="O19" s="355">
        <v>82877</v>
      </c>
      <c r="P19" s="355">
        <v>54930</v>
      </c>
      <c r="Q19" s="355">
        <v>64521</v>
      </c>
      <c r="R19" s="355">
        <v>77458</v>
      </c>
      <c r="S19" s="355">
        <v>137794</v>
      </c>
      <c r="T19" s="355">
        <v>93916</v>
      </c>
      <c r="U19" s="59">
        <f t="shared" si="2"/>
        <v>34156</v>
      </c>
      <c r="V19" s="59">
        <f t="shared" si="3"/>
        <v>137794</v>
      </c>
      <c r="W19" s="59">
        <f t="shared" si="4"/>
        <v>73364.7</v>
      </c>
      <c r="X19" s="60">
        <f t="shared" si="5"/>
        <v>274.9619393371589</v>
      </c>
      <c r="Y19" s="65">
        <v>18</v>
      </c>
      <c r="Z19" s="65" t="str">
        <f>_xlfn.IFERROR(INDEX('Tabela PW'!$C:$F,'Słownik PW'!C19,1),"")</f>
        <v>Siarka rodzima z wydobycia</v>
      </c>
      <c r="AA19" s="65" t="str">
        <f>_xlfn.IFERROR(INDEX('Tabela PW'!$C:$F,'Słownik PW'!C19,4),"")</f>
        <v>t</v>
      </c>
      <c r="AB19" s="65" t="str">
        <f t="shared" si="1"/>
        <v>Siarka rodzima z wydobycia - (JM  t)</v>
      </c>
      <c r="AC19" s="65">
        <f>_xlfn.IFERROR(INDEX('Tabela PW'!$K:$K,'Słownik PW'!C19,1),"")</f>
        <v>517000</v>
      </c>
      <c r="AD19" s="65">
        <f>_xlfn.IFERROR(INDEX('Tabela PW'!$L:$L,'Słownik PW'!C19,1),"")</f>
        <v>657400</v>
      </c>
      <c r="AE19" s="65">
        <f>_xlfn.IFERROR(INDEX('Tabela PW'!$M:$M,'Słownik PW'!C19,1),"")</f>
        <v>676800</v>
      </c>
      <c r="AF19" s="65">
        <f>_xlfn.IFERROR(INDEX('Tabela PW'!$N:$N,'Słownik PW'!C19,1),"")</f>
        <v>526300</v>
      </c>
      <c r="AG19" s="65">
        <f>_xlfn.IFERROR(INDEX('Tabela PW'!$O:$O,'Słownik PW'!C19,1),"")</f>
        <v>605400</v>
      </c>
      <c r="AH19" s="65">
        <f>_xlfn.IFERROR(INDEX('Tabela PW'!$P:$P,'Słownik PW'!C19,1),"")</f>
        <v>627600</v>
      </c>
      <c r="AI19" s="65">
        <f>_xlfn.IFERROR(INDEX('Tabela PW'!$Q:$Q,'Słownik PW'!C19,1),"")</f>
        <v>620500</v>
      </c>
      <c r="AJ19" s="65">
        <f>_xlfn.IFERROR(INDEX('Tabela PW'!$R:$R,'Słownik PW'!C19,1),"")</f>
        <v>663000</v>
      </c>
      <c r="AK19" s="65">
        <f>_xlfn.IFERROR(INDEX('Tabela PW'!$S:$S,'Słownik PW'!C19,1),"")</f>
        <v>617370</v>
      </c>
      <c r="AL19" s="65">
        <f>_xlfn.IFERROR(INDEX('Tabela PW'!$T:$T,'Słownik PW'!C19,1),"")</f>
        <v>555470</v>
      </c>
      <c r="AM19" s="65">
        <f>_xlfn.IFERROR(INDEX('Tabela PW'!$U:$X,'Słownik PW'!C19,1),"")</f>
        <v>517000</v>
      </c>
      <c r="AN19" s="65">
        <f>_xlfn.IFERROR(INDEX('Tabela PW'!$U:$X,'Słownik PW'!C19,2),"")</f>
        <v>676800</v>
      </c>
      <c r="AO19" s="66">
        <f>_xlfn.IFERROR(INDEX('Tabela PW'!$U:$X,'Słownik PW'!C19,3),"")</f>
        <v>606684</v>
      </c>
      <c r="AP19" s="67">
        <f>_xlfn.IFERROR(INDEX('Tabela PW'!$U:$X,'Słownik PW'!C19,4),"")</f>
        <v>107.44100580270792</v>
      </c>
      <c r="AQ19" s="66" t="str">
        <f>_xlfn.IFERROR(INDEX('Tabela PW'!$U:$X,'Słownik PW'!C19,5),"")</f>
        <v/>
      </c>
      <c r="AR19" s="67" t="str">
        <f>_xlfn.IFERROR(INDEX('Tabela PW'!$U:$X,'Słownik PW'!C19,6),"")</f>
        <v/>
      </c>
      <c r="AS19" s="67" t="str">
        <f>_xlfn.IFERROR(INDEX('Tabela PW'!$U:$X,'Słownik PW'!C19,7),"")</f>
        <v/>
      </c>
      <c r="AT19" s="65"/>
      <c r="AU19" s="65"/>
      <c r="AV19" s="65"/>
      <c r="AW19" s="65"/>
      <c r="AX19" s="65"/>
      <c r="AY19" s="65"/>
      <c r="AZ19" s="65"/>
      <c r="BA19" s="65"/>
      <c r="BB19" s="65"/>
      <c r="BC19" s="65"/>
      <c r="BD19" s="65"/>
      <c r="BE19" s="65"/>
      <c r="BF19" s="65"/>
      <c r="BG19" s="65"/>
      <c r="BH19" s="68"/>
      <c r="BI19" s="65"/>
    </row>
    <row r="20" spans="1:61" ht="15">
      <c r="A20" s="4" t="s">
        <v>40</v>
      </c>
      <c r="B20" s="5" t="s">
        <v>670</v>
      </c>
      <c r="C20" s="49" t="s">
        <v>43</v>
      </c>
      <c r="D20" s="349">
        <f t="shared" si="0"/>
        <v>15</v>
      </c>
      <c r="E20" s="350" t="s">
        <v>725</v>
      </c>
      <c r="F20" s="51" t="s">
        <v>25</v>
      </c>
      <c r="G20" s="351" t="s">
        <v>683</v>
      </c>
      <c r="H20" s="351" t="s">
        <v>1416</v>
      </c>
      <c r="I20" s="351" t="s">
        <v>1417</v>
      </c>
      <c r="J20" s="351" t="s">
        <v>3718</v>
      </c>
      <c r="K20" s="354">
        <v>1241221</v>
      </c>
      <c r="L20" s="355">
        <v>1418271</v>
      </c>
      <c r="M20" s="354">
        <v>1395403</v>
      </c>
      <c r="N20" s="355">
        <v>1188969</v>
      </c>
      <c r="O20" s="355">
        <v>1151150</v>
      </c>
      <c r="P20" s="355">
        <v>1099081</v>
      </c>
      <c r="Q20" s="355">
        <v>1118484</v>
      </c>
      <c r="R20" s="355">
        <v>1182379</v>
      </c>
      <c r="S20" s="355">
        <v>1120344</v>
      </c>
      <c r="T20" s="355">
        <v>1150495</v>
      </c>
      <c r="U20" s="59">
        <f t="shared" si="2"/>
        <v>1099081</v>
      </c>
      <c r="V20" s="59">
        <f t="shared" si="3"/>
        <v>1418271</v>
      </c>
      <c r="W20" s="59">
        <f t="shared" si="4"/>
        <v>1206579.7</v>
      </c>
      <c r="X20" s="60">
        <f t="shared" si="5"/>
        <v>92.69058451315277</v>
      </c>
      <c r="Y20" s="65">
        <v>19</v>
      </c>
      <c r="Z20" s="65" t="str">
        <f>_xlfn.IFERROR(INDEX('Tabela PW'!$C:$F,'Słownik PW'!C20,1),"")</f>
        <v>Siarka rodzima z wydobycia</v>
      </c>
      <c r="AA20" s="65" t="str">
        <f>_xlfn.IFERROR(INDEX('Tabela PW'!$C:$F,'Słownik PW'!C20,4),"")</f>
        <v>t S</v>
      </c>
      <c r="AB20" s="65" t="str">
        <f t="shared" si="1"/>
        <v>Siarka rodzima z wydobycia - (JM  t S)</v>
      </c>
      <c r="AC20" s="65">
        <f>_xlfn.IFERROR(INDEX('Tabela PW'!$K:$K,'Słownik PW'!C20,1),"")</f>
        <v>516742</v>
      </c>
      <c r="AD20" s="65">
        <f>_xlfn.IFERROR(INDEX('Tabela PW'!$L:$L,'Słownik PW'!C20,1),"")</f>
        <v>657071</v>
      </c>
      <c r="AE20" s="65">
        <f>_xlfn.IFERROR(INDEX('Tabela PW'!$M:$M,'Słownik PW'!C20,1),"")</f>
        <v>676462</v>
      </c>
      <c r="AF20" s="65">
        <f>_xlfn.IFERROR(INDEX('Tabela PW'!$N:$N,'Słownik PW'!C20,1),"")</f>
        <v>526037</v>
      </c>
      <c r="AG20" s="65">
        <f>_xlfn.IFERROR(INDEX('Tabela PW'!$O:$O,'Słownik PW'!C20,1),"")</f>
        <v>605097</v>
      </c>
      <c r="AH20" s="65">
        <f>_xlfn.IFERROR(INDEX('Tabela PW'!$P:$P,'Słownik PW'!C20,1),"")</f>
        <v>627286</v>
      </c>
      <c r="AI20" s="65">
        <f>_xlfn.IFERROR(INDEX('Tabela PW'!$Q:$Q,'Słownik PW'!C20,1),"")</f>
        <v>620190</v>
      </c>
      <c r="AJ20" s="65">
        <f>_xlfn.IFERROR(INDEX('Tabela PW'!$R:$R,'Słownik PW'!C20,1),"")</f>
        <v>662669</v>
      </c>
      <c r="AK20" s="65">
        <f>_xlfn.IFERROR(INDEX('Tabela PW'!$S:$S,'Słownik PW'!C20,1),"")</f>
        <v>617062</v>
      </c>
      <c r="AL20" s="65">
        <f>_xlfn.IFERROR(INDEX('Tabela PW'!$T:$T,'Słownik PW'!C20,1),"")</f>
        <v>555192</v>
      </c>
      <c r="AM20" s="65">
        <f>_xlfn.IFERROR(INDEX('Tabela PW'!$U:$X,'Słownik PW'!C20,1),"")</f>
        <v>516742</v>
      </c>
      <c r="AN20" s="65">
        <f>_xlfn.IFERROR(INDEX('Tabela PW'!$U:$X,'Słownik PW'!C20,2),"")</f>
        <v>676462</v>
      </c>
      <c r="AO20" s="66">
        <f>_xlfn.IFERROR(INDEX('Tabela PW'!$U:$X,'Słownik PW'!C20,3),"")</f>
        <v>606380.8</v>
      </c>
      <c r="AP20" s="67">
        <f>_xlfn.IFERROR(INDEX('Tabela PW'!$U:$X,'Słownik PW'!C20,4),"")</f>
        <v>107.44085055985386</v>
      </c>
      <c r="AQ20" s="66" t="str">
        <f>_xlfn.IFERROR(INDEX('Tabela PW'!$U:$X,'Słownik PW'!C20,5),"")</f>
        <v/>
      </c>
      <c r="AR20" s="67" t="str">
        <f>_xlfn.IFERROR(INDEX('Tabela PW'!$U:$X,'Słownik PW'!C20,6),"")</f>
        <v/>
      </c>
      <c r="AS20" s="67" t="str">
        <f>_xlfn.IFERROR(INDEX('Tabela PW'!$U:$X,'Słownik PW'!C20,7),"")</f>
        <v/>
      </c>
      <c r="AT20" s="65"/>
      <c r="AU20" s="65"/>
      <c r="AV20" s="65"/>
      <c r="AW20" s="65"/>
      <c r="AX20" s="65"/>
      <c r="AY20" s="65"/>
      <c r="AZ20" s="65"/>
      <c r="BA20" s="65"/>
      <c r="BB20" s="65"/>
      <c r="BC20" s="65"/>
      <c r="BD20" s="65"/>
      <c r="BE20" s="65"/>
      <c r="BF20" s="65"/>
      <c r="BG20" s="65"/>
      <c r="BH20" s="68"/>
      <c r="BI20" s="65"/>
    </row>
    <row r="21" spans="1:61" ht="15">
      <c r="A21" s="4" t="s">
        <v>40</v>
      </c>
      <c r="B21" s="5" t="s">
        <v>670</v>
      </c>
      <c r="C21" s="49" t="s">
        <v>44</v>
      </c>
      <c r="D21" s="349">
        <f t="shared" si="0"/>
        <v>186</v>
      </c>
      <c r="E21" s="350" t="s">
        <v>726</v>
      </c>
      <c r="F21" s="51" t="s">
        <v>25</v>
      </c>
      <c r="G21" s="351" t="s">
        <v>683</v>
      </c>
      <c r="H21" s="351" t="s">
        <v>1418</v>
      </c>
      <c r="I21" s="351" t="s">
        <v>1419</v>
      </c>
      <c r="J21" s="351" t="s">
        <v>3719</v>
      </c>
      <c r="K21" s="354">
        <v>33234974</v>
      </c>
      <c r="L21" s="355">
        <v>40977418</v>
      </c>
      <c r="M21" s="354">
        <v>38210748</v>
      </c>
      <c r="N21" s="355">
        <v>35353024</v>
      </c>
      <c r="O21" s="355">
        <v>35151507</v>
      </c>
      <c r="P21" s="355">
        <v>36522261</v>
      </c>
      <c r="Q21" s="355">
        <v>35187594</v>
      </c>
      <c r="R21" s="355">
        <v>35746930</v>
      </c>
      <c r="S21" s="355">
        <v>36283528</v>
      </c>
      <c r="T21" s="355">
        <v>36746832</v>
      </c>
      <c r="U21" s="59">
        <f t="shared" si="2"/>
        <v>33234974</v>
      </c>
      <c r="V21" s="59">
        <f t="shared" si="3"/>
        <v>40977418</v>
      </c>
      <c r="W21" s="59">
        <f t="shared" si="4"/>
        <v>36341481.6</v>
      </c>
      <c r="X21" s="60">
        <f t="shared" si="5"/>
        <v>110.56675416686048</v>
      </c>
      <c r="Y21" s="65">
        <v>20</v>
      </c>
      <c r="Z21" s="65" t="str">
        <f>_xlfn.IFERROR(INDEX('Tabela PW'!$C:$F,'Słownik PW'!C21,1),"")</f>
        <v>Torf z wyłączeniem brykietów i podobnych paliw stałych</v>
      </c>
      <c r="AA21" s="65" t="str">
        <f>_xlfn.IFERROR(INDEX('Tabela PW'!$C:$F,'Słownik PW'!C21,4),"")</f>
        <v>t</v>
      </c>
      <c r="AB21" s="65" t="str">
        <f t="shared" si="1"/>
        <v>Torf z wyłączeniem brykietów i podobnych paliw stałych - (JM  t)</v>
      </c>
      <c r="AC21" s="65">
        <f>_xlfn.IFERROR(INDEX('Tabela PW'!$K:$K,'Słownik PW'!C21,1),"")</f>
        <v>671585</v>
      </c>
      <c r="AD21" s="65">
        <f>_xlfn.IFERROR(INDEX('Tabela PW'!$L:$L,'Słownik PW'!C21,1),"")</f>
        <v>745972</v>
      </c>
      <c r="AE21" s="65">
        <f>_xlfn.IFERROR(INDEX('Tabela PW'!$M:$M,'Słownik PW'!C21,1),"")</f>
        <v>761537</v>
      </c>
      <c r="AF21" s="65">
        <f>_xlfn.IFERROR(INDEX('Tabela PW'!$N:$N,'Słownik PW'!C21,1),"")</f>
        <v>817758</v>
      </c>
      <c r="AG21" s="65">
        <f>_xlfn.IFERROR(INDEX('Tabela PW'!$O:$O,'Słownik PW'!C21,1),"")</f>
        <v>829382</v>
      </c>
      <c r="AH21" s="65">
        <f>_xlfn.IFERROR(INDEX('Tabela PW'!$P:$P,'Słownik PW'!C21,1),"")</f>
        <v>876816</v>
      </c>
      <c r="AI21" s="65">
        <f>_xlfn.IFERROR(INDEX('Tabela PW'!$Q:$Q,'Słownik PW'!C21,1),"")</f>
        <v>906954</v>
      </c>
      <c r="AJ21" s="65">
        <f>_xlfn.IFERROR(INDEX('Tabela PW'!$R:$R,'Słownik PW'!C21,1),"")</f>
        <v>924618</v>
      </c>
      <c r="AK21" s="65">
        <f>_xlfn.IFERROR(INDEX('Tabela PW'!$S:$S,'Słownik PW'!C21,1),"")</f>
        <v>836905</v>
      </c>
      <c r="AL21" s="65">
        <f>_xlfn.IFERROR(INDEX('Tabela PW'!$T:$T,'Słownik PW'!C21,1),"")</f>
        <v>970164</v>
      </c>
      <c r="AM21" s="65">
        <f>_xlfn.IFERROR(INDEX('Tabela PW'!$U:$X,'Słownik PW'!C21,1),"")</f>
        <v>671585</v>
      </c>
      <c r="AN21" s="65">
        <f>_xlfn.IFERROR(INDEX('Tabela PW'!$U:$X,'Słownik PW'!C21,2),"")</f>
        <v>970164</v>
      </c>
      <c r="AO21" s="66">
        <f>_xlfn.IFERROR(INDEX('Tabela PW'!$U:$X,'Słownik PW'!C21,3),"")</f>
        <v>834169.1</v>
      </c>
      <c r="AP21" s="67">
        <f>_xlfn.IFERROR(INDEX('Tabela PW'!$U:$X,'Słownik PW'!C21,4),"")</f>
        <v>144.45885479872243</v>
      </c>
      <c r="AQ21" s="66" t="str">
        <f>_xlfn.IFERROR(INDEX('Tabela PW'!$U:$X,'Słownik PW'!C21,5),"")</f>
        <v/>
      </c>
      <c r="AR21" s="67" t="str">
        <f>_xlfn.IFERROR(INDEX('Tabela PW'!$U:$X,'Słownik PW'!C21,6),"")</f>
        <v/>
      </c>
      <c r="AS21" s="67" t="str">
        <f>_xlfn.IFERROR(INDEX('Tabela PW'!$U:$X,'Słownik PW'!C21,7),"")</f>
        <v/>
      </c>
      <c r="AT21" s="65"/>
      <c r="AU21" s="65"/>
      <c r="AV21" s="65"/>
      <c r="AW21" s="65"/>
      <c r="AX21" s="65"/>
      <c r="AY21" s="65"/>
      <c r="AZ21" s="65"/>
      <c r="BA21" s="65"/>
      <c r="BB21" s="65"/>
      <c r="BC21" s="65"/>
      <c r="BD21" s="65"/>
      <c r="BE21" s="65"/>
      <c r="BF21" s="65"/>
      <c r="BG21" s="65"/>
      <c r="BH21" s="68"/>
      <c r="BI21" s="65"/>
    </row>
    <row r="22" spans="1:61" ht="15">
      <c r="A22" s="4" t="s">
        <v>40</v>
      </c>
      <c r="B22" s="5" t="s">
        <v>670</v>
      </c>
      <c r="C22" s="49" t="s">
        <v>45</v>
      </c>
      <c r="D22" s="349">
        <f t="shared" si="0"/>
        <v>26</v>
      </c>
      <c r="E22" s="350" t="s">
        <v>727</v>
      </c>
      <c r="F22" s="51" t="s">
        <v>25</v>
      </c>
      <c r="G22" s="351" t="s">
        <v>683</v>
      </c>
      <c r="H22" s="351" t="s">
        <v>1420</v>
      </c>
      <c r="I22" s="351" t="s">
        <v>1421</v>
      </c>
      <c r="J22" s="351" t="s">
        <v>3720</v>
      </c>
      <c r="K22" s="354">
        <v>3145062</v>
      </c>
      <c r="L22" s="355">
        <v>3558721</v>
      </c>
      <c r="M22" s="354">
        <v>3012268</v>
      </c>
      <c r="N22" s="355">
        <v>2848666</v>
      </c>
      <c r="O22" s="355">
        <v>3101367</v>
      </c>
      <c r="P22" s="355">
        <v>3039208</v>
      </c>
      <c r="Q22" s="355">
        <v>3136485</v>
      </c>
      <c r="R22" s="355">
        <v>3472950</v>
      </c>
      <c r="S22" s="355">
        <v>3604812</v>
      </c>
      <c r="T22" s="355">
        <v>3961272</v>
      </c>
      <c r="U22" s="59">
        <f t="shared" si="2"/>
        <v>2848666</v>
      </c>
      <c r="V22" s="59">
        <f t="shared" si="3"/>
        <v>3961272</v>
      </c>
      <c r="W22" s="59">
        <f t="shared" si="4"/>
        <v>3288081.1</v>
      </c>
      <c r="X22" s="60">
        <f t="shared" si="5"/>
        <v>125.95211159589223</v>
      </c>
      <c r="Y22" s="65">
        <v>21</v>
      </c>
      <c r="Z22" s="65" t="str">
        <f>_xlfn.IFERROR(INDEX('Tabela PW'!$C:$F,'Słownik PW'!C22,1),"")</f>
        <v>Sól ogółem (z wyłączeniem soli do spożycia)</v>
      </c>
      <c r="AA22" s="65" t="str">
        <f>_xlfn.IFERROR(INDEX('Tabela PW'!$C:$F,'Słownik PW'!C22,4),"")</f>
        <v>t</v>
      </c>
      <c r="AB22" s="65" t="str">
        <f t="shared" si="1"/>
        <v>Sól ogółem (z wyłączeniem soli do spożycia) - (JM  t)</v>
      </c>
      <c r="AC22" s="65">
        <f>_xlfn.IFERROR(INDEX('Tabela PW'!$K:$K,'Słownik PW'!C22,1),"")</f>
        <v>4261892</v>
      </c>
      <c r="AD22" s="65">
        <f>_xlfn.IFERROR(INDEX('Tabela PW'!$L:$L,'Słownik PW'!C22,1),"")</f>
        <v>4414780</v>
      </c>
      <c r="AE22" s="65">
        <f>_xlfn.IFERROR(INDEX('Tabela PW'!$M:$M,'Słownik PW'!C22,1),"")</f>
        <v>4076333</v>
      </c>
      <c r="AF22" s="65">
        <f>_xlfn.IFERROR(INDEX('Tabela PW'!$N:$N,'Słownik PW'!C22,1),"")</f>
        <v>4545050</v>
      </c>
      <c r="AG22" s="65">
        <f>_xlfn.IFERROR(INDEX('Tabela PW'!$O:$O,'Słownik PW'!C22,1),"")</f>
        <v>3927600</v>
      </c>
      <c r="AH22" s="65">
        <f>_xlfn.IFERROR(INDEX('Tabela PW'!$P:$P,'Słownik PW'!C22,1),"")</f>
        <v>3924645</v>
      </c>
      <c r="AI22" s="65">
        <f>_xlfn.IFERROR(INDEX('Tabela PW'!$Q:$Q,'Słownik PW'!C22,1),"")</f>
        <v>4101956</v>
      </c>
      <c r="AJ22" s="65">
        <f>_xlfn.IFERROR(INDEX('Tabela PW'!$R:$R,'Słownik PW'!C22,1),"")</f>
        <v>4419476</v>
      </c>
      <c r="AK22" s="65">
        <f>_xlfn.IFERROR(INDEX('Tabela PW'!$S:$S,'Słownik PW'!C22,1),"")</f>
        <v>4279345</v>
      </c>
      <c r="AL22" s="65">
        <f>_xlfn.IFERROR(INDEX('Tabela PW'!$T:$T,'Słownik PW'!C22,1),"")</f>
        <v>4155686</v>
      </c>
      <c r="AM22" s="65">
        <f>_xlfn.IFERROR(INDEX('Tabela PW'!$U:$X,'Słownik PW'!C22,1),"")</f>
        <v>3924645</v>
      </c>
      <c r="AN22" s="65">
        <f>_xlfn.IFERROR(INDEX('Tabela PW'!$U:$X,'Słownik PW'!C22,2),"")</f>
        <v>4545050</v>
      </c>
      <c r="AO22" s="66">
        <f>_xlfn.IFERROR(INDEX('Tabela PW'!$U:$X,'Słownik PW'!C22,3),"")</f>
        <v>4210676.3</v>
      </c>
      <c r="AP22" s="67">
        <f>_xlfn.IFERROR(INDEX('Tabela PW'!$U:$X,'Słownik PW'!C22,4),"")</f>
        <v>97.50800818040439</v>
      </c>
      <c r="AQ22" s="66" t="str">
        <f>_xlfn.IFERROR(INDEX('Tabela PW'!$U:$X,'Słownik PW'!C22,5),"")</f>
        <v/>
      </c>
      <c r="AR22" s="67" t="str">
        <f>_xlfn.IFERROR(INDEX('Tabela PW'!$U:$X,'Słownik PW'!C22,6),"")</f>
        <v/>
      </c>
      <c r="AS22" s="67" t="str">
        <f>_xlfn.IFERROR(INDEX('Tabela PW'!$U:$X,'Słownik PW'!C22,7),"")</f>
        <v/>
      </c>
      <c r="AT22" s="65"/>
      <c r="AU22" s="65"/>
      <c r="AV22" s="65"/>
      <c r="AW22" s="65"/>
      <c r="AX22" s="65"/>
      <c r="AY22" s="65"/>
      <c r="AZ22" s="65"/>
      <c r="BA22" s="65"/>
      <c r="BB22" s="65"/>
      <c r="BC22" s="65"/>
      <c r="BD22" s="65"/>
      <c r="BE22" s="65"/>
      <c r="BF22" s="65"/>
      <c r="BG22" s="65"/>
      <c r="BH22" s="68"/>
      <c r="BI22" s="65"/>
    </row>
    <row r="23" spans="1:61" ht="15">
      <c r="A23" s="4" t="s">
        <v>40</v>
      </c>
      <c r="B23" s="5" t="s">
        <v>670</v>
      </c>
      <c r="C23" s="49" t="s">
        <v>46</v>
      </c>
      <c r="D23" s="349">
        <f t="shared" si="0"/>
        <v>23</v>
      </c>
      <c r="E23" s="350" t="s">
        <v>728</v>
      </c>
      <c r="F23" s="51" t="s">
        <v>25</v>
      </c>
      <c r="G23" s="351" t="s">
        <v>683</v>
      </c>
      <c r="H23" s="351" t="s">
        <v>1422</v>
      </c>
      <c r="I23" s="351" t="s">
        <v>1423</v>
      </c>
      <c r="J23" s="351" t="s">
        <v>3721</v>
      </c>
      <c r="K23" s="354">
        <v>234388</v>
      </c>
      <c r="L23" s="355">
        <v>320944</v>
      </c>
      <c r="M23" s="354">
        <v>381960</v>
      </c>
      <c r="N23" s="355">
        <v>387584</v>
      </c>
      <c r="O23" s="355">
        <v>448034</v>
      </c>
      <c r="P23" s="355">
        <v>460866</v>
      </c>
      <c r="Q23" s="355">
        <v>463002</v>
      </c>
      <c r="R23" s="355">
        <v>630210</v>
      </c>
      <c r="S23" s="355">
        <v>700794</v>
      </c>
      <c r="T23" s="355">
        <v>814673</v>
      </c>
      <c r="U23" s="59">
        <f t="shared" si="2"/>
        <v>234388</v>
      </c>
      <c r="V23" s="59">
        <f t="shared" si="3"/>
        <v>814673</v>
      </c>
      <c r="W23" s="59">
        <f t="shared" si="4"/>
        <v>484245.5</v>
      </c>
      <c r="X23" s="60">
        <f t="shared" si="5"/>
        <v>347.57453453248456</v>
      </c>
      <c r="Y23" s="65">
        <v>22</v>
      </c>
      <c r="Z23" s="65" t="str">
        <f>_xlfn.IFERROR(INDEX('Tabela PW'!$C:$F,'Słownik PW'!C23,1),"")</f>
        <v>Sól kamienna (z wyłączeniem soli do spożycia)</v>
      </c>
      <c r="AA23" s="65" t="str">
        <f>_xlfn.IFERROR(INDEX('Tabela PW'!$C:$F,'Słownik PW'!C23,4),"")</f>
        <v>t</v>
      </c>
      <c r="AB23" s="65" t="str">
        <f t="shared" si="1"/>
        <v>Sól kamienna (z wyłączeniem soli do spożycia) - (JM  t)</v>
      </c>
      <c r="AC23" s="65">
        <f>_xlfn.IFERROR(INDEX('Tabela PW'!$K:$K,'Słownik PW'!C23,1),"")</f>
        <v>1221744</v>
      </c>
      <c r="AD23" s="65">
        <f>_xlfn.IFERROR(INDEX('Tabela PW'!$L:$L,'Słownik PW'!C23,1),"")</f>
        <v>1233839</v>
      </c>
      <c r="AE23" s="65">
        <f>_xlfn.IFERROR(INDEX('Tabela PW'!$M:$M,'Słownik PW'!C23,1),"")</f>
        <v>782528</v>
      </c>
      <c r="AF23" s="65">
        <f>_xlfn.IFERROR(INDEX('Tabela PW'!$N:$N,'Słownik PW'!C23,1),"")</f>
        <v>1310483</v>
      </c>
      <c r="AG23" s="65">
        <f>_xlfn.IFERROR(INDEX('Tabela PW'!$O:$O,'Słownik PW'!C23,1),"")</f>
        <v>763138</v>
      </c>
      <c r="AH23" s="65">
        <f>_xlfn.IFERROR(INDEX('Tabela PW'!$P:$P,'Słownik PW'!C23,1),"")</f>
        <v>639735</v>
      </c>
      <c r="AI23" s="65">
        <f>_xlfn.IFERROR(INDEX('Tabela PW'!$Q:$Q,'Słownik PW'!C23,1),"")</f>
        <v>698607</v>
      </c>
      <c r="AJ23" s="65">
        <f>_xlfn.IFERROR(INDEX('Tabela PW'!$R:$R,'Słownik PW'!C23,1),"")</f>
        <v>983863</v>
      </c>
      <c r="AK23" s="65">
        <f>_xlfn.IFERROR(INDEX('Tabela PW'!$S:$S,'Słownik PW'!C23,1),"")</f>
        <v>853210</v>
      </c>
      <c r="AL23" s="65">
        <f>_xlfn.IFERROR(INDEX('Tabela PW'!$T:$T,'Słownik PW'!C23,1),"")</f>
        <v>911644</v>
      </c>
      <c r="AM23" s="65">
        <f>_xlfn.IFERROR(INDEX('Tabela PW'!$U:$X,'Słownik PW'!C23,1),"")</f>
        <v>639735</v>
      </c>
      <c r="AN23" s="65">
        <f>_xlfn.IFERROR(INDEX('Tabela PW'!$U:$X,'Słownik PW'!C23,2),"")</f>
        <v>1310483</v>
      </c>
      <c r="AO23" s="66">
        <f>_xlfn.IFERROR(INDEX('Tabela PW'!$U:$X,'Słownik PW'!C23,3),"")</f>
        <v>939879.1</v>
      </c>
      <c r="AP23" s="67">
        <f>_xlfn.IFERROR(INDEX('Tabela PW'!$U:$X,'Słownik PW'!C23,4),"")</f>
        <v>74.6182506318836</v>
      </c>
      <c r="AQ23" s="66" t="str">
        <f>_xlfn.IFERROR(INDEX('Tabela PW'!$U:$X,'Słownik PW'!C23,5),"")</f>
        <v/>
      </c>
      <c r="AR23" s="67" t="str">
        <f>_xlfn.IFERROR(INDEX('Tabela PW'!$U:$X,'Słownik PW'!C23,6),"")</f>
        <v/>
      </c>
      <c r="AS23" s="67" t="str">
        <f>_xlfn.IFERROR(INDEX('Tabela PW'!$U:$X,'Słownik PW'!C23,7),"")</f>
        <v/>
      </c>
      <c r="AT23" s="65"/>
      <c r="AU23" s="65"/>
      <c r="AV23" s="65"/>
      <c r="AW23" s="65"/>
      <c r="AX23" s="65"/>
      <c r="AY23" s="65"/>
      <c r="AZ23" s="65"/>
      <c r="BA23" s="65"/>
      <c r="BB23" s="65"/>
      <c r="BC23" s="65"/>
      <c r="BD23" s="65"/>
      <c r="BE23" s="65"/>
      <c r="BF23" s="65"/>
      <c r="BG23" s="65"/>
      <c r="BH23" s="68"/>
      <c r="BI23" s="65"/>
    </row>
    <row r="24" spans="1:61" ht="15">
      <c r="A24" s="4" t="s">
        <v>40</v>
      </c>
      <c r="B24" s="5" t="s">
        <v>670</v>
      </c>
      <c r="C24" s="49" t="s">
        <v>47</v>
      </c>
      <c r="D24" s="349">
        <f t="shared" si="0"/>
        <v>38</v>
      </c>
      <c r="E24" s="350" t="s">
        <v>729</v>
      </c>
      <c r="F24" s="51" t="s">
        <v>25</v>
      </c>
      <c r="G24" s="351" t="s">
        <v>683</v>
      </c>
      <c r="H24" s="351" t="s">
        <v>1424</v>
      </c>
      <c r="I24" s="351" t="s">
        <v>1425</v>
      </c>
      <c r="J24" s="351" t="s">
        <v>3722</v>
      </c>
      <c r="K24" s="354">
        <v>1727287</v>
      </c>
      <c r="L24" s="355">
        <v>1794995</v>
      </c>
      <c r="M24" s="354">
        <v>1762674</v>
      </c>
      <c r="N24" s="355">
        <v>1864460</v>
      </c>
      <c r="O24" s="355">
        <v>1996477</v>
      </c>
      <c r="P24" s="355">
        <v>3068868</v>
      </c>
      <c r="Q24" s="355">
        <v>3258268</v>
      </c>
      <c r="R24" s="355">
        <v>2760644</v>
      </c>
      <c r="S24" s="355">
        <v>3023640</v>
      </c>
      <c r="T24" s="355">
        <v>3392193</v>
      </c>
      <c r="U24" s="59">
        <f t="shared" si="2"/>
        <v>1727287</v>
      </c>
      <c r="V24" s="59">
        <f t="shared" si="3"/>
        <v>3392193</v>
      </c>
      <c r="W24" s="59">
        <f t="shared" si="4"/>
        <v>2464950.6</v>
      </c>
      <c r="X24" s="60">
        <f t="shared" si="5"/>
        <v>196.3884982634617</v>
      </c>
      <c r="Y24" s="65">
        <v>23</v>
      </c>
      <c r="Z24" s="65" t="str">
        <f>_xlfn.IFERROR(INDEX('Tabela PW'!$C:$F,'Słownik PW'!C24,1),"")</f>
        <v>Sól warzona (z wyłączeniem soli do spożycia)</v>
      </c>
      <c r="AA24" s="65" t="str">
        <f>_xlfn.IFERROR(INDEX('Tabela PW'!$C:$F,'Słownik PW'!C24,4),"")</f>
        <v>t</v>
      </c>
      <c r="AB24" s="65" t="str">
        <f t="shared" si="1"/>
        <v>Sól warzona (z wyłączeniem soli do spożycia) - (JM  t)</v>
      </c>
      <c r="AC24" s="65">
        <f>_xlfn.IFERROR(INDEX('Tabela PW'!$K:$K,'Słownik PW'!C24,1),"")</f>
        <v>410302</v>
      </c>
      <c r="AD24" s="65">
        <f>_xlfn.IFERROR(INDEX('Tabela PW'!$L:$L,'Słownik PW'!C24,1),"")</f>
        <v>414585</v>
      </c>
      <c r="AE24" s="65">
        <f>_xlfn.IFERROR(INDEX('Tabela PW'!$M:$M,'Słownik PW'!C24,1),"")</f>
        <v>402400</v>
      </c>
      <c r="AF24" s="65">
        <f>_xlfn.IFERROR(INDEX('Tabela PW'!$N:$N,'Słownik PW'!C24,1),"")</f>
        <v>420953</v>
      </c>
      <c r="AG24" s="65">
        <f>_xlfn.IFERROR(INDEX('Tabela PW'!$O:$O,'Słownik PW'!C24,1),"")</f>
        <v>395039</v>
      </c>
      <c r="AH24" s="65">
        <f>_xlfn.IFERROR(INDEX('Tabela PW'!$P:$P,'Słownik PW'!C24,1),"")</f>
        <v>406676</v>
      </c>
      <c r="AI24" s="65">
        <f>_xlfn.IFERROR(INDEX('Tabela PW'!$Q:$Q,'Słownik PW'!C24,1),"")</f>
        <v>380076</v>
      </c>
      <c r="AJ24" s="65">
        <f>_xlfn.IFERROR(INDEX('Tabela PW'!$R:$R,'Słownik PW'!C24,1),"")</f>
        <v>348606</v>
      </c>
      <c r="AK24" s="65">
        <f>_xlfn.IFERROR(INDEX('Tabela PW'!$S:$S,'Słownik PW'!C24,1),"")</f>
        <v>383951</v>
      </c>
      <c r="AL24" s="65">
        <f>_xlfn.IFERROR(INDEX('Tabela PW'!$T:$T,'Słownik PW'!C24,1),"")</f>
        <v>360884</v>
      </c>
      <c r="AM24" s="65">
        <f>_xlfn.IFERROR(INDEX('Tabela PW'!$U:$X,'Słownik PW'!C24,1),"")</f>
        <v>348606</v>
      </c>
      <c r="AN24" s="65">
        <f>_xlfn.IFERROR(INDEX('Tabela PW'!$U:$X,'Słownik PW'!C24,2),"")</f>
        <v>420953</v>
      </c>
      <c r="AO24" s="66">
        <f>_xlfn.IFERROR(INDEX('Tabela PW'!$U:$X,'Słownik PW'!C24,3),"")</f>
        <v>392347.2</v>
      </c>
      <c r="AP24" s="67">
        <f>_xlfn.IFERROR(INDEX('Tabela PW'!$U:$X,'Słownik PW'!C24,4),"")</f>
        <v>87.95570092273496</v>
      </c>
      <c r="AQ24" s="66" t="str">
        <f>_xlfn.IFERROR(INDEX('Tabela PW'!$U:$X,'Słownik PW'!C24,5),"")</f>
        <v/>
      </c>
      <c r="AR24" s="67" t="str">
        <f>_xlfn.IFERROR(INDEX('Tabela PW'!$U:$X,'Słownik PW'!C24,6),"")</f>
        <v/>
      </c>
      <c r="AS24" s="67" t="str">
        <f>_xlfn.IFERROR(INDEX('Tabela PW'!$U:$X,'Słownik PW'!C24,7),"")</f>
        <v/>
      </c>
      <c r="AT24" s="65"/>
      <c r="AU24" s="65"/>
      <c r="AV24" s="65"/>
      <c r="AW24" s="65"/>
      <c r="AX24" s="65"/>
      <c r="AY24" s="65"/>
      <c r="AZ24" s="65"/>
      <c r="BA24" s="65"/>
      <c r="BB24" s="65"/>
      <c r="BC24" s="65"/>
      <c r="BD24" s="65"/>
      <c r="BE24" s="65"/>
      <c r="BF24" s="65"/>
      <c r="BG24" s="65"/>
      <c r="BH24" s="68"/>
      <c r="BI24" s="65"/>
    </row>
    <row r="25" spans="1:61" ht="15">
      <c r="A25" s="4" t="s">
        <v>40</v>
      </c>
      <c r="B25" s="5" t="s">
        <v>670</v>
      </c>
      <c r="C25" s="49" t="s">
        <v>48</v>
      </c>
      <c r="D25" s="349">
        <f t="shared" si="0"/>
        <v>37</v>
      </c>
      <c r="E25" s="350" t="s">
        <v>730</v>
      </c>
      <c r="F25" s="51" t="s">
        <v>25</v>
      </c>
      <c r="G25" s="351" t="s">
        <v>683</v>
      </c>
      <c r="H25" s="351" t="s">
        <v>1426</v>
      </c>
      <c r="I25" s="351" t="s">
        <v>1427</v>
      </c>
      <c r="J25" s="351" t="s">
        <v>3723</v>
      </c>
      <c r="K25" s="354">
        <v>7685511</v>
      </c>
      <c r="L25" s="355">
        <v>15102999</v>
      </c>
      <c r="M25" s="354">
        <v>10544645</v>
      </c>
      <c r="N25" s="355">
        <v>9877689</v>
      </c>
      <c r="O25" s="355">
        <v>9296983</v>
      </c>
      <c r="P25" s="355">
        <v>10389973</v>
      </c>
      <c r="Q25" s="355">
        <v>8984402</v>
      </c>
      <c r="R25" s="355">
        <v>9023275</v>
      </c>
      <c r="S25" s="355">
        <v>8943327</v>
      </c>
      <c r="T25" s="355">
        <v>9644488</v>
      </c>
      <c r="U25" s="59">
        <f t="shared" si="2"/>
        <v>7685511</v>
      </c>
      <c r="V25" s="59">
        <f t="shared" si="3"/>
        <v>15102999</v>
      </c>
      <c r="W25" s="59">
        <f t="shared" si="4"/>
        <v>9949329.2</v>
      </c>
      <c r="X25" s="60">
        <f t="shared" si="5"/>
        <v>125.48922251233523</v>
      </c>
      <c r="Y25" s="65">
        <v>24</v>
      </c>
      <c r="Z25" s="65" t="str">
        <f>_xlfn.IFERROR(INDEX('Tabela PW'!$C:$F,'Słownik PW'!C25,1),"")</f>
        <v>Sól w solance</v>
      </c>
      <c r="AA25" s="65" t="str">
        <f>_xlfn.IFERROR(INDEX('Tabela PW'!$C:$F,'Słownik PW'!C25,4),"")</f>
        <v>t NaCl</v>
      </c>
      <c r="AB25" s="65" t="str">
        <f t="shared" si="1"/>
        <v>Sól w solance - (JM  t NaCl)</v>
      </c>
      <c r="AC25" s="65">
        <f>_xlfn.IFERROR(INDEX('Tabela PW'!$K:$K,'Słownik PW'!C25,1),"")</f>
        <v>2464363</v>
      </c>
      <c r="AD25" s="65">
        <f>_xlfn.IFERROR(INDEX('Tabela PW'!$L:$L,'Słownik PW'!C25,1),"")</f>
        <v>2633277</v>
      </c>
      <c r="AE25" s="65">
        <f>_xlfn.IFERROR(INDEX('Tabela PW'!$M:$M,'Słownik PW'!C25,1),"")</f>
        <v>2732205</v>
      </c>
      <c r="AF25" s="65">
        <f>_xlfn.IFERROR(INDEX('Tabela PW'!$N:$N,'Słownik PW'!C25,1),"")</f>
        <v>2735459</v>
      </c>
      <c r="AG25" s="65">
        <f>_xlfn.IFERROR(INDEX('Tabela PW'!$O:$O,'Słownik PW'!C25,1),"")</f>
        <v>2705091</v>
      </c>
      <c r="AH25" s="65">
        <f>_xlfn.IFERROR(INDEX('Tabela PW'!$P:$P,'Słownik PW'!C25,1),"")</f>
        <v>2797703</v>
      </c>
      <c r="AI25" s="65">
        <f>_xlfn.IFERROR(INDEX('Tabela PW'!$Q:$Q,'Słownik PW'!C25,1),"")</f>
        <v>2964690</v>
      </c>
      <c r="AJ25" s="65">
        <f>_xlfn.IFERROR(INDEX('Tabela PW'!$R:$R,'Słownik PW'!C25,1),"")</f>
        <v>2988847</v>
      </c>
      <c r="AK25" s="65">
        <f>_xlfn.IFERROR(INDEX('Tabela PW'!$S:$S,'Słownik PW'!C25,1),"")</f>
        <v>2928781</v>
      </c>
      <c r="AL25" s="65">
        <f>_xlfn.IFERROR(INDEX('Tabela PW'!$T:$T,'Słownik PW'!C25,1),"")</f>
        <v>2928782</v>
      </c>
      <c r="AM25" s="65">
        <f>_xlfn.IFERROR(INDEX('Tabela PW'!$U:$X,'Słownik PW'!C25,1),"")</f>
        <v>2464363</v>
      </c>
      <c r="AN25" s="65">
        <f>_xlfn.IFERROR(INDEX('Tabela PW'!$U:$X,'Słownik PW'!C25,2),"")</f>
        <v>2988847</v>
      </c>
      <c r="AO25" s="66">
        <f>_xlfn.IFERROR(INDEX('Tabela PW'!$U:$X,'Słownik PW'!C25,3),"")</f>
        <v>2787919.8</v>
      </c>
      <c r="AP25" s="67">
        <f>_xlfn.IFERROR(INDEX('Tabela PW'!$U:$X,'Słownik PW'!C25,4),"")</f>
        <v>118.84539737043609</v>
      </c>
      <c r="AQ25" s="66" t="str">
        <f>_xlfn.IFERROR(INDEX('Tabela PW'!$U:$X,'Słownik PW'!C25,5),"")</f>
        <v/>
      </c>
      <c r="AR25" s="67" t="str">
        <f>_xlfn.IFERROR(INDEX('Tabela PW'!$U:$X,'Słownik PW'!C25,6),"")</f>
        <v/>
      </c>
      <c r="AS25" s="67" t="str">
        <f>_xlfn.IFERROR(INDEX('Tabela PW'!$U:$X,'Słownik PW'!C25,7),"")</f>
        <v/>
      </c>
      <c r="AT25" s="65"/>
      <c r="AU25" s="65"/>
      <c r="AV25" s="65"/>
      <c r="AW25" s="65"/>
      <c r="AX25" s="65"/>
      <c r="AY25" s="65"/>
      <c r="AZ25" s="65"/>
      <c r="BA25" s="65"/>
      <c r="BB25" s="65"/>
      <c r="BC25" s="65"/>
      <c r="BD25" s="65"/>
      <c r="BE25" s="65"/>
      <c r="BF25" s="65"/>
      <c r="BG25" s="65"/>
      <c r="BH25" s="68"/>
      <c r="BI25" s="65"/>
    </row>
    <row r="26" spans="1:61" ht="15">
      <c r="A26" s="4" t="s">
        <v>40</v>
      </c>
      <c r="B26" s="5" t="s">
        <v>670</v>
      </c>
      <c r="C26" s="49" t="s">
        <v>49</v>
      </c>
      <c r="D26" s="349">
        <f t="shared" si="0"/>
        <v>16</v>
      </c>
      <c r="E26" s="350" t="s">
        <v>731</v>
      </c>
      <c r="F26" s="51" t="s">
        <v>25</v>
      </c>
      <c r="G26" s="351" t="s">
        <v>683</v>
      </c>
      <c r="H26" s="351" t="s">
        <v>1428</v>
      </c>
      <c r="I26" s="351" t="s">
        <v>1429</v>
      </c>
      <c r="J26" s="351" t="s">
        <v>3724</v>
      </c>
      <c r="K26" s="354">
        <v>2457571</v>
      </c>
      <c r="L26" s="355">
        <v>2569919</v>
      </c>
      <c r="M26" s="354">
        <v>2354407</v>
      </c>
      <c r="N26" s="355">
        <v>2342998</v>
      </c>
      <c r="O26" s="355">
        <v>2256483</v>
      </c>
      <c r="P26" s="355">
        <v>2447918</v>
      </c>
      <c r="Q26" s="355">
        <v>2368760</v>
      </c>
      <c r="R26" s="355">
        <v>2472231</v>
      </c>
      <c r="S26" s="355">
        <v>2434920</v>
      </c>
      <c r="T26" s="355">
        <v>2853703</v>
      </c>
      <c r="U26" s="59">
        <f t="shared" si="2"/>
        <v>2256483</v>
      </c>
      <c r="V26" s="59">
        <f t="shared" si="3"/>
        <v>2853703</v>
      </c>
      <c r="W26" s="59">
        <f t="shared" si="4"/>
        <v>2455891</v>
      </c>
      <c r="X26" s="60">
        <f t="shared" si="5"/>
        <v>116.11884254819087</v>
      </c>
      <c r="Y26" s="65">
        <v>25</v>
      </c>
      <c r="Z26" s="65" t="str">
        <f>_xlfn.IFERROR(INDEX('Tabela PW'!$C:$F,'Słownik PW'!C26,1),"")</f>
        <v>Kwarc, z wyłączeniem piasku naturalnego</v>
      </c>
      <c r="AA26" s="65" t="str">
        <f>_xlfn.IFERROR(INDEX('Tabela PW'!$C:$F,'Słownik PW'!C26,4),"")</f>
        <v>t</v>
      </c>
      <c r="AB26" s="65" t="str">
        <f t="shared" si="1"/>
        <v>Kwarc, z wyłączeniem piasku naturalnego - (JM  t)</v>
      </c>
      <c r="AC26" s="65">
        <f>_xlfn.IFERROR(INDEX('Tabela PW'!$K:$K,'Słownik PW'!C26,1),"")</f>
        <v>5603</v>
      </c>
      <c r="AD26" s="65">
        <f>_xlfn.IFERROR(INDEX('Tabela PW'!$L:$L,'Słownik PW'!C26,1),"")</f>
        <v>6099</v>
      </c>
      <c r="AE26" s="65">
        <f>_xlfn.IFERROR(INDEX('Tabela PW'!$M:$M,'Słownik PW'!C26,1),"")</f>
        <v>5367</v>
      </c>
      <c r="AF26" s="65">
        <f>_xlfn.IFERROR(INDEX('Tabela PW'!$N:$N,'Słownik PW'!C26,1),"")</f>
        <v>5769</v>
      </c>
      <c r="AG26" s="65">
        <f>_xlfn.IFERROR(INDEX('Tabela PW'!$O:$O,'Słownik PW'!C26,1),"")</f>
        <v>11340</v>
      </c>
      <c r="AH26" s="65">
        <f>_xlfn.IFERROR(INDEX('Tabela PW'!$P:$P,'Słownik PW'!C26,1),"")</f>
        <v>14692</v>
      </c>
      <c r="AI26" s="65">
        <f>_xlfn.IFERROR(INDEX('Tabela PW'!$Q:$Q,'Słownik PW'!C26,1),"")</f>
        <v>7572</v>
      </c>
      <c r="AJ26" s="65">
        <f>_xlfn.IFERROR(INDEX('Tabela PW'!$R:$R,'Słownik PW'!C26,1),"")</f>
        <v>7956</v>
      </c>
      <c r="AK26" s="65">
        <f>_xlfn.IFERROR(INDEX('Tabela PW'!$S:$S,'Słownik PW'!C26,1),"")</f>
        <v>8771</v>
      </c>
      <c r="AL26" s="65">
        <f>_xlfn.IFERROR(INDEX('Tabela PW'!$T:$T,'Słownik PW'!C26,1),"")</f>
        <v>14365</v>
      </c>
      <c r="AM26" s="65">
        <f>_xlfn.IFERROR(INDEX('Tabela PW'!$U:$X,'Słownik PW'!C26,1),"")</f>
        <v>5367</v>
      </c>
      <c r="AN26" s="65">
        <f>_xlfn.IFERROR(INDEX('Tabela PW'!$U:$X,'Słownik PW'!C26,2),"")</f>
        <v>14692</v>
      </c>
      <c r="AO26" s="66">
        <f>_xlfn.IFERROR(INDEX('Tabela PW'!$U:$X,'Słownik PW'!C26,3),"")</f>
        <v>8753.4</v>
      </c>
      <c r="AP26" s="67">
        <f>_xlfn.IFERROR(INDEX('Tabela PW'!$U:$X,'Słownik PW'!C26,4),"")</f>
        <v>256.3805104408352</v>
      </c>
      <c r="AQ26" s="66" t="str">
        <f>_xlfn.IFERROR(INDEX('Tabela PW'!$U:$X,'Słownik PW'!C26,5),"")</f>
        <v/>
      </c>
      <c r="AR26" s="67" t="str">
        <f>_xlfn.IFERROR(INDEX('Tabela PW'!$U:$X,'Słownik PW'!C26,6),"")</f>
        <v/>
      </c>
      <c r="AS26" s="67" t="str">
        <f>_xlfn.IFERROR(INDEX('Tabela PW'!$U:$X,'Słownik PW'!C26,7),"")</f>
        <v/>
      </c>
      <c r="AT26" s="65"/>
      <c r="AU26" s="65"/>
      <c r="AV26" s="65"/>
      <c r="AW26" s="65"/>
      <c r="AX26" s="65"/>
      <c r="AY26" s="65"/>
      <c r="AZ26" s="65"/>
      <c r="BA26" s="65"/>
      <c r="BB26" s="65"/>
      <c r="BC26" s="65"/>
      <c r="BD26" s="65"/>
      <c r="BE26" s="65"/>
      <c r="BF26" s="65"/>
      <c r="BG26" s="65"/>
      <c r="BH26" s="68"/>
      <c r="BI26" s="65"/>
    </row>
    <row r="27" spans="1:61" ht="15">
      <c r="A27" s="4" t="s">
        <v>40</v>
      </c>
      <c r="B27" s="5" t="s">
        <v>670</v>
      </c>
      <c r="C27" s="49" t="s">
        <v>50</v>
      </c>
      <c r="D27" s="349">
        <f t="shared" si="0"/>
        <v>17</v>
      </c>
      <c r="E27" s="350" t="s">
        <v>732</v>
      </c>
      <c r="F27" s="51" t="s">
        <v>25</v>
      </c>
      <c r="G27" s="351" t="s">
        <v>683</v>
      </c>
      <c r="H27" s="351" t="s">
        <v>1430</v>
      </c>
      <c r="I27" s="351" t="s">
        <v>1431</v>
      </c>
      <c r="J27" s="351" t="s">
        <v>3725</v>
      </c>
      <c r="K27" s="354">
        <v>1816642</v>
      </c>
      <c r="L27" s="355">
        <v>2095734</v>
      </c>
      <c r="M27" s="354">
        <v>2933982</v>
      </c>
      <c r="N27" s="355">
        <v>3360455</v>
      </c>
      <c r="O27" s="355">
        <v>1796134</v>
      </c>
      <c r="P27" s="355">
        <v>1633220</v>
      </c>
      <c r="Q27" s="355">
        <v>1643240</v>
      </c>
      <c r="R27" s="355">
        <v>1642877</v>
      </c>
      <c r="S27" s="355">
        <v>1511645</v>
      </c>
      <c r="T27" s="355">
        <v>1480320</v>
      </c>
      <c r="U27" s="59">
        <f t="shared" si="2"/>
        <v>1480320</v>
      </c>
      <c r="V27" s="59">
        <f t="shared" si="3"/>
        <v>3360455</v>
      </c>
      <c r="W27" s="59">
        <f t="shared" si="4"/>
        <v>1991424.9</v>
      </c>
      <c r="X27" s="60">
        <f t="shared" si="5"/>
        <v>81.4866110108651</v>
      </c>
      <c r="Y27" s="65">
        <v>26</v>
      </c>
      <c r="Z27" s="65" t="str">
        <f>_xlfn.IFERROR(INDEX('Tabela PW'!$C:$F,'Słownik PW'!C27,1),"")</f>
        <v/>
      </c>
      <c r="AA27" s="65" t="str">
        <f>_xlfn.IFERROR(INDEX('Tabela PW'!$C:$F,'Słownik PW'!C27,4),"")</f>
        <v/>
      </c>
      <c r="AB27" s="65" t="str">
        <f t="shared" si="1"/>
        <v/>
      </c>
      <c r="AC27" s="65" t="str">
        <f>_xlfn.IFERROR(INDEX('Tabela PW'!$K:$K,'Słownik PW'!C27,1),"")</f>
        <v/>
      </c>
      <c r="AD27" s="65" t="str">
        <f>_xlfn.IFERROR(INDEX('Tabela PW'!$L:$L,'Słownik PW'!C27,1),"")</f>
        <v/>
      </c>
      <c r="AE27" s="65" t="str">
        <f>_xlfn.IFERROR(INDEX('Tabela PW'!$M:$M,'Słownik PW'!C27,1),"")</f>
        <v/>
      </c>
      <c r="AF27" s="65" t="str">
        <f>_xlfn.IFERROR(INDEX('Tabela PW'!$N:$N,'Słownik PW'!C27,1),"")</f>
        <v/>
      </c>
      <c r="AG27" s="65" t="str">
        <f>_xlfn.IFERROR(INDEX('Tabela PW'!$O:$O,'Słownik PW'!C27,1),"")</f>
        <v/>
      </c>
      <c r="AH27" s="65" t="str">
        <f>_xlfn.IFERROR(INDEX('Tabela PW'!$P:$P,'Słownik PW'!C27,1),"")</f>
        <v/>
      </c>
      <c r="AI27" s="65" t="str">
        <f>_xlfn.IFERROR(INDEX('Tabela PW'!$Q:$Q,'Słownik PW'!C27,1),"")</f>
        <v/>
      </c>
      <c r="AJ27" s="65" t="str">
        <f>_xlfn.IFERROR(INDEX('Tabela PW'!$R:$R,'Słownik PW'!C27,1),"")</f>
        <v/>
      </c>
      <c r="AK27" s="65" t="str">
        <f>_xlfn.IFERROR(INDEX('Tabela PW'!$S:$S,'Słownik PW'!C27,1),"")</f>
        <v/>
      </c>
      <c r="AL27" s="65" t="str">
        <f>_xlfn.IFERROR(INDEX('Tabela PW'!$T:$T,'Słownik PW'!C27,1),"")</f>
        <v/>
      </c>
      <c r="AM27" s="65" t="str">
        <f>_xlfn.IFERROR(INDEX('Tabela PW'!$U:$X,'Słownik PW'!C27,1),"")</f>
        <v/>
      </c>
      <c r="AN27" s="65" t="str">
        <f>_xlfn.IFERROR(INDEX('Tabela PW'!$U:$X,'Słownik PW'!C27,2),"")</f>
        <v/>
      </c>
      <c r="AO27" s="66" t="str">
        <f>_xlfn.IFERROR(INDEX('Tabela PW'!$U:$X,'Słownik PW'!C27,3),"")</f>
        <v/>
      </c>
      <c r="AP27" s="67" t="str">
        <f>_xlfn.IFERROR(INDEX('Tabela PW'!$U:$X,'Słownik PW'!C27,4),"")</f>
        <v/>
      </c>
      <c r="AQ27" s="66" t="str">
        <f>_xlfn.IFERROR(INDEX('Tabela PW'!$U:$X,'Słownik PW'!C27,5),"")</f>
        <v/>
      </c>
      <c r="AR27" s="67" t="str">
        <f>_xlfn.IFERROR(INDEX('Tabela PW'!$U:$X,'Słownik PW'!C27,6),"")</f>
        <v/>
      </c>
      <c r="AS27" s="67" t="str">
        <f>_xlfn.IFERROR(INDEX('Tabela PW'!$U:$X,'Słownik PW'!C27,7),"")</f>
        <v/>
      </c>
      <c r="AT27" s="65"/>
      <c r="AU27" s="65"/>
      <c r="AV27" s="65"/>
      <c r="AW27" s="65"/>
      <c r="AX27" s="65"/>
      <c r="AY27" s="65"/>
      <c r="AZ27" s="65"/>
      <c r="BA27" s="65"/>
      <c r="BB27" s="65"/>
      <c r="BC27" s="65"/>
      <c r="BD27" s="65"/>
      <c r="BE27" s="65"/>
      <c r="BF27" s="65"/>
      <c r="BG27" s="65"/>
      <c r="BH27" s="68"/>
      <c r="BI27" s="65"/>
    </row>
    <row r="28" spans="1:61" ht="15">
      <c r="A28" s="4" t="s">
        <v>40</v>
      </c>
      <c r="B28" s="5" t="s">
        <v>670</v>
      </c>
      <c r="C28" s="49" t="s">
        <v>51</v>
      </c>
      <c r="D28" s="349">
        <f t="shared" si="0"/>
        <v>130</v>
      </c>
      <c r="E28" s="350" t="s">
        <v>733</v>
      </c>
      <c r="F28" s="51" t="s">
        <v>25</v>
      </c>
      <c r="G28" s="351" t="s">
        <v>683</v>
      </c>
      <c r="H28" s="351" t="s">
        <v>1432</v>
      </c>
      <c r="I28" s="351" t="s">
        <v>1433</v>
      </c>
      <c r="J28" s="351" t="s">
        <v>3726</v>
      </c>
      <c r="K28" s="354">
        <v>40742802</v>
      </c>
      <c r="L28" s="355">
        <v>53448766</v>
      </c>
      <c r="M28" s="354">
        <v>36913811</v>
      </c>
      <c r="N28" s="355">
        <v>36483388</v>
      </c>
      <c r="O28" s="355">
        <v>36247838</v>
      </c>
      <c r="P28" s="355">
        <v>37766698</v>
      </c>
      <c r="Q28" s="355">
        <v>37238019</v>
      </c>
      <c r="R28" s="355">
        <v>44840171</v>
      </c>
      <c r="S28" s="355">
        <v>43214503</v>
      </c>
      <c r="T28" s="355">
        <v>51915267</v>
      </c>
      <c r="U28" s="59">
        <f t="shared" si="2"/>
        <v>36247838</v>
      </c>
      <c r="V28" s="59">
        <f t="shared" si="3"/>
        <v>53448766</v>
      </c>
      <c r="W28" s="59">
        <f t="shared" si="4"/>
        <v>41881126.3</v>
      </c>
      <c r="X28" s="60">
        <f t="shared" si="5"/>
        <v>127.42193578144183</v>
      </c>
      <c r="Y28" s="65">
        <v>27</v>
      </c>
      <c r="Z28" s="65" t="str">
        <f>_xlfn.IFERROR(INDEX('Tabela PW'!$C:$F,'Słownik PW'!C28,1),"")</f>
        <v/>
      </c>
      <c r="AA28" s="65" t="str">
        <f>_xlfn.IFERROR(INDEX('Tabela PW'!$C:$F,'Słownik PW'!C28,4),"")</f>
        <v/>
      </c>
      <c r="AB28" s="65" t="str">
        <f t="shared" si="1"/>
        <v/>
      </c>
      <c r="AC28" s="65" t="str">
        <f>_xlfn.IFERROR(INDEX('Tabela PW'!$K:$K,'Słownik PW'!C28,1),"")</f>
        <v/>
      </c>
      <c r="AD28" s="65" t="str">
        <f>_xlfn.IFERROR(INDEX('Tabela PW'!$L:$L,'Słownik PW'!C28,1),"")</f>
        <v/>
      </c>
      <c r="AE28" s="65" t="str">
        <f>_xlfn.IFERROR(INDEX('Tabela PW'!$M:$M,'Słownik PW'!C28,1),"")</f>
        <v/>
      </c>
      <c r="AF28" s="65" t="str">
        <f>_xlfn.IFERROR(INDEX('Tabela PW'!$N:$N,'Słownik PW'!C28,1),"")</f>
        <v/>
      </c>
      <c r="AG28" s="65" t="str">
        <f>_xlfn.IFERROR(INDEX('Tabela PW'!$O:$O,'Słownik PW'!C28,1),"")</f>
        <v/>
      </c>
      <c r="AH28" s="65" t="str">
        <f>_xlfn.IFERROR(INDEX('Tabela PW'!$P:$P,'Słownik PW'!C28,1),"")</f>
        <v/>
      </c>
      <c r="AI28" s="65" t="str">
        <f>_xlfn.IFERROR(INDEX('Tabela PW'!$Q:$Q,'Słownik PW'!C28,1),"")</f>
        <v/>
      </c>
      <c r="AJ28" s="65" t="str">
        <f>_xlfn.IFERROR(INDEX('Tabela PW'!$R:$R,'Słownik PW'!C28,1),"")</f>
        <v/>
      </c>
      <c r="AK28" s="65" t="str">
        <f>_xlfn.IFERROR(INDEX('Tabela PW'!$S:$S,'Słownik PW'!C28,1),"")</f>
        <v/>
      </c>
      <c r="AL28" s="65" t="str">
        <f>_xlfn.IFERROR(INDEX('Tabela PW'!$T:$T,'Słownik PW'!C28,1),"")</f>
        <v/>
      </c>
      <c r="AM28" s="65" t="str">
        <f>_xlfn.IFERROR(INDEX('Tabela PW'!$U:$X,'Słownik PW'!C28,1),"")</f>
        <v/>
      </c>
      <c r="AN28" s="65" t="str">
        <f>_xlfn.IFERROR(INDEX('Tabela PW'!$U:$X,'Słownik PW'!C28,2),"")</f>
        <v/>
      </c>
      <c r="AO28" s="66" t="str">
        <f>_xlfn.IFERROR(INDEX('Tabela PW'!$U:$X,'Słownik PW'!C28,3),"")</f>
        <v/>
      </c>
      <c r="AP28" s="67" t="str">
        <f>_xlfn.IFERROR(INDEX('Tabela PW'!$U:$X,'Słownik PW'!C28,4),"")</f>
        <v/>
      </c>
      <c r="AQ28" s="66" t="str">
        <f>_xlfn.IFERROR(INDEX('Tabela PW'!$U:$X,'Słownik PW'!C28,5),"")</f>
        <v/>
      </c>
      <c r="AR28" s="67" t="str">
        <f>_xlfn.IFERROR(INDEX('Tabela PW'!$U:$X,'Słownik PW'!C28,6),"")</f>
        <v/>
      </c>
      <c r="AS28" s="67" t="str">
        <f>_xlfn.IFERROR(INDEX('Tabela PW'!$U:$X,'Słownik PW'!C28,7),"")</f>
        <v/>
      </c>
      <c r="AT28" s="65"/>
      <c r="AU28" s="65"/>
      <c r="AV28" s="65"/>
      <c r="AW28" s="65"/>
      <c r="AX28" s="65"/>
      <c r="AY28" s="65"/>
      <c r="AZ28" s="65"/>
      <c r="BA28" s="65"/>
      <c r="BB28" s="65"/>
      <c r="BC28" s="65"/>
      <c r="BD28" s="65"/>
      <c r="BE28" s="65"/>
      <c r="BF28" s="65"/>
      <c r="BG28" s="65"/>
      <c r="BH28" s="68"/>
      <c r="BI28" s="65"/>
    </row>
    <row r="29" spans="1:61" ht="15">
      <c r="A29" s="4" t="s">
        <v>40</v>
      </c>
      <c r="B29" s="5" t="s">
        <v>670</v>
      </c>
      <c r="C29" s="49" t="s">
        <v>52</v>
      </c>
      <c r="D29" s="349">
        <f t="shared" si="0"/>
        <v>146</v>
      </c>
      <c r="E29" s="350" t="s">
        <v>734</v>
      </c>
      <c r="F29" s="51" t="s">
        <v>25</v>
      </c>
      <c r="G29" s="351" t="s">
        <v>683</v>
      </c>
      <c r="H29" s="351" t="s">
        <v>1434</v>
      </c>
      <c r="I29" s="351" t="s">
        <v>1435</v>
      </c>
      <c r="J29" s="351" t="s">
        <v>3727</v>
      </c>
      <c r="K29" s="354">
        <v>58203741</v>
      </c>
      <c r="L29" s="355">
        <v>83037605</v>
      </c>
      <c r="M29" s="354">
        <v>61804944</v>
      </c>
      <c r="N29" s="355">
        <v>54192819</v>
      </c>
      <c r="O29" s="355">
        <v>57167615</v>
      </c>
      <c r="P29" s="355">
        <v>57529537</v>
      </c>
      <c r="Q29" s="355">
        <v>56324657</v>
      </c>
      <c r="R29" s="355">
        <v>64418641</v>
      </c>
      <c r="S29" s="355">
        <v>76694626</v>
      </c>
      <c r="T29" s="355">
        <v>78143958</v>
      </c>
      <c r="U29" s="59">
        <f t="shared" si="2"/>
        <v>54192819</v>
      </c>
      <c r="V29" s="59">
        <f t="shared" si="3"/>
        <v>83037605</v>
      </c>
      <c r="W29" s="59">
        <f t="shared" si="4"/>
        <v>64751814.3</v>
      </c>
      <c r="X29" s="60">
        <f t="shared" si="5"/>
        <v>134.2593391033061</v>
      </c>
      <c r="Y29" s="65">
        <v>28</v>
      </c>
      <c r="Z29" s="65" t="str">
        <f>_xlfn.IFERROR(INDEX('Tabela PW'!$C:$F,'Słownik PW'!C29,1),"")</f>
        <v/>
      </c>
      <c r="AA29" s="65" t="str">
        <f>_xlfn.IFERROR(INDEX('Tabela PW'!$C:$F,'Słownik PW'!C29,4),"")</f>
        <v/>
      </c>
      <c r="AB29" s="65" t="str">
        <f t="shared" si="1"/>
        <v/>
      </c>
      <c r="AC29" s="65" t="str">
        <f>_xlfn.IFERROR(INDEX('Tabela PW'!$K:$K,'Słownik PW'!C29,1),"")</f>
        <v/>
      </c>
      <c r="AD29" s="65" t="str">
        <f>_xlfn.IFERROR(INDEX('Tabela PW'!$L:$L,'Słownik PW'!C29,1),"")</f>
        <v/>
      </c>
      <c r="AE29" s="65" t="str">
        <f>_xlfn.IFERROR(INDEX('Tabela PW'!$M:$M,'Słownik PW'!C29,1),"")</f>
        <v/>
      </c>
      <c r="AF29" s="65" t="str">
        <f>_xlfn.IFERROR(INDEX('Tabela PW'!$N:$N,'Słownik PW'!C29,1),"")</f>
        <v/>
      </c>
      <c r="AG29" s="65" t="str">
        <f>_xlfn.IFERROR(INDEX('Tabela PW'!$O:$O,'Słownik PW'!C29,1),"")</f>
        <v/>
      </c>
      <c r="AH29" s="65" t="str">
        <f>_xlfn.IFERROR(INDEX('Tabela PW'!$P:$P,'Słownik PW'!C29,1),"")</f>
        <v/>
      </c>
      <c r="AI29" s="65" t="str">
        <f>_xlfn.IFERROR(INDEX('Tabela PW'!$Q:$Q,'Słownik PW'!C29,1),"")</f>
        <v/>
      </c>
      <c r="AJ29" s="65" t="str">
        <f>_xlfn.IFERROR(INDEX('Tabela PW'!$R:$R,'Słownik PW'!C29,1),"")</f>
        <v/>
      </c>
      <c r="AK29" s="65" t="str">
        <f>_xlfn.IFERROR(INDEX('Tabela PW'!$S:$S,'Słownik PW'!C29,1),"")</f>
        <v/>
      </c>
      <c r="AL29" s="65" t="str">
        <f>_xlfn.IFERROR(INDEX('Tabela PW'!$T:$T,'Słownik PW'!C29,1),"")</f>
        <v/>
      </c>
      <c r="AM29" s="65" t="str">
        <f>_xlfn.IFERROR(INDEX('Tabela PW'!$U:$X,'Słownik PW'!C29,1),"")</f>
        <v/>
      </c>
      <c r="AN29" s="65" t="str">
        <f>_xlfn.IFERROR(INDEX('Tabela PW'!$U:$X,'Słownik PW'!C29,2),"")</f>
        <v/>
      </c>
      <c r="AO29" s="66" t="str">
        <f>_xlfn.IFERROR(INDEX('Tabela PW'!$U:$X,'Słownik PW'!C29,3),"")</f>
        <v/>
      </c>
      <c r="AP29" s="67" t="str">
        <f>_xlfn.IFERROR(INDEX('Tabela PW'!$U:$X,'Słownik PW'!C29,4),"")</f>
        <v/>
      </c>
      <c r="AQ29" s="66" t="str">
        <f>_xlfn.IFERROR(INDEX('Tabela PW'!$U:$X,'Słownik PW'!C29,5),"")</f>
        <v/>
      </c>
      <c r="AR29" s="67" t="str">
        <f>_xlfn.IFERROR(INDEX('Tabela PW'!$U:$X,'Słownik PW'!C29,6),"")</f>
        <v/>
      </c>
      <c r="AS29" s="67" t="str">
        <f>_xlfn.IFERROR(INDEX('Tabela PW'!$U:$X,'Słownik PW'!C29,7),"")</f>
        <v/>
      </c>
      <c r="AT29" s="65"/>
      <c r="AU29" s="65"/>
      <c r="AV29" s="65"/>
      <c r="AW29" s="65"/>
      <c r="AX29" s="65"/>
      <c r="AY29" s="65"/>
      <c r="AZ29" s="65"/>
      <c r="BA29" s="65"/>
      <c r="BB29" s="65"/>
      <c r="BC29" s="65"/>
      <c r="BD29" s="65"/>
      <c r="BE29" s="65"/>
      <c r="BF29" s="65"/>
      <c r="BG29" s="65"/>
      <c r="BH29" s="68"/>
      <c r="BI29" s="65"/>
    </row>
    <row r="30" spans="1:61" ht="15">
      <c r="A30" s="4" t="s">
        <v>40</v>
      </c>
      <c r="B30" s="5" t="s">
        <v>670</v>
      </c>
      <c r="C30" s="49" t="s">
        <v>53</v>
      </c>
      <c r="D30" s="349">
        <f t="shared" si="0"/>
        <v>123</v>
      </c>
      <c r="E30" s="350" t="s">
        <v>735</v>
      </c>
      <c r="F30" s="51" t="s">
        <v>25</v>
      </c>
      <c r="G30" s="351" t="s">
        <v>683</v>
      </c>
      <c r="H30" s="351" t="s">
        <v>1436</v>
      </c>
      <c r="I30" s="351" t="s">
        <v>1437</v>
      </c>
      <c r="J30" s="351" t="s">
        <v>3728</v>
      </c>
      <c r="K30" s="354">
        <v>4637821</v>
      </c>
      <c r="L30" s="355">
        <v>5625917</v>
      </c>
      <c r="M30" s="354">
        <v>3033811</v>
      </c>
      <c r="N30" s="355">
        <v>3648898</v>
      </c>
      <c r="O30" s="355">
        <v>3923432</v>
      </c>
      <c r="P30" s="355">
        <v>3135835</v>
      </c>
      <c r="Q30" s="355">
        <v>3122977</v>
      </c>
      <c r="R30" s="355">
        <v>3197932</v>
      </c>
      <c r="S30" s="355">
        <v>3466111</v>
      </c>
      <c r="T30" s="355">
        <v>3418470</v>
      </c>
      <c r="U30" s="59">
        <f t="shared" si="2"/>
        <v>3033811</v>
      </c>
      <c r="V30" s="59">
        <f t="shared" si="3"/>
        <v>5625917</v>
      </c>
      <c r="W30" s="59">
        <f t="shared" si="4"/>
        <v>3721120.4</v>
      </c>
      <c r="X30" s="60">
        <f t="shared" si="5"/>
        <v>73.70853683227533</v>
      </c>
      <c r="Y30" s="65">
        <v>29</v>
      </c>
      <c r="Z30" s="65" t="str">
        <f>_xlfn.IFERROR(INDEX('Tabela PW'!$C:$F,'Słownik PW'!C30,1),"")</f>
        <v/>
      </c>
      <c r="AA30" s="65" t="str">
        <f>_xlfn.IFERROR(INDEX('Tabela PW'!$C:$F,'Słownik PW'!C30,4),"")</f>
        <v/>
      </c>
      <c r="AB30" s="65" t="str">
        <f t="shared" si="1"/>
        <v/>
      </c>
      <c r="AC30" s="65" t="str">
        <f>_xlfn.IFERROR(INDEX('Tabela PW'!$K:$K,'Słownik PW'!C30,1),"")</f>
        <v/>
      </c>
      <c r="AD30" s="65" t="str">
        <f>_xlfn.IFERROR(INDEX('Tabela PW'!$L:$L,'Słownik PW'!C30,1),"")</f>
        <v/>
      </c>
      <c r="AE30" s="65" t="str">
        <f>_xlfn.IFERROR(INDEX('Tabela PW'!$M:$M,'Słownik PW'!C30,1),"")</f>
        <v/>
      </c>
      <c r="AF30" s="65" t="str">
        <f>_xlfn.IFERROR(INDEX('Tabela PW'!$N:$N,'Słownik PW'!C30,1),"")</f>
        <v/>
      </c>
      <c r="AG30" s="65" t="str">
        <f>_xlfn.IFERROR(INDEX('Tabela PW'!$O:$O,'Słownik PW'!C30,1),"")</f>
        <v/>
      </c>
      <c r="AH30" s="65" t="str">
        <f>_xlfn.IFERROR(INDEX('Tabela PW'!$P:$P,'Słownik PW'!C30,1),"")</f>
        <v/>
      </c>
      <c r="AI30" s="65" t="str">
        <f>_xlfn.IFERROR(INDEX('Tabela PW'!$Q:$Q,'Słownik PW'!C30,1),"")</f>
        <v/>
      </c>
      <c r="AJ30" s="65" t="str">
        <f>_xlfn.IFERROR(INDEX('Tabela PW'!$R:$R,'Słownik PW'!C30,1),"")</f>
        <v/>
      </c>
      <c r="AK30" s="65" t="str">
        <f>_xlfn.IFERROR(INDEX('Tabela PW'!$S:$S,'Słownik PW'!C30,1),"")</f>
        <v/>
      </c>
      <c r="AL30" s="65" t="str">
        <f>_xlfn.IFERROR(INDEX('Tabela PW'!$T:$T,'Słownik PW'!C30,1),"")</f>
        <v/>
      </c>
      <c r="AM30" s="65" t="str">
        <f>_xlfn.IFERROR(INDEX('Tabela PW'!$U:$X,'Słownik PW'!C30,1),"")</f>
        <v/>
      </c>
      <c r="AN30" s="65" t="str">
        <f>_xlfn.IFERROR(INDEX('Tabela PW'!$U:$X,'Słownik PW'!C30,2),"")</f>
        <v/>
      </c>
      <c r="AO30" s="66" t="str">
        <f>_xlfn.IFERROR(INDEX('Tabela PW'!$U:$X,'Słownik PW'!C30,3),"")</f>
        <v/>
      </c>
      <c r="AP30" s="67" t="str">
        <f>_xlfn.IFERROR(INDEX('Tabela PW'!$U:$X,'Słownik PW'!C30,4),"")</f>
        <v/>
      </c>
      <c r="AQ30" s="66" t="str">
        <f>_xlfn.IFERROR(INDEX('Tabela PW'!$U:$X,'Słownik PW'!C30,5),"")</f>
        <v/>
      </c>
      <c r="AR30" s="67" t="str">
        <f>_xlfn.IFERROR(INDEX('Tabela PW'!$U:$X,'Słownik PW'!C30,6),"")</f>
        <v/>
      </c>
      <c r="AS30" s="67" t="str">
        <f>_xlfn.IFERROR(INDEX('Tabela PW'!$U:$X,'Słownik PW'!C30,7),"")</f>
        <v/>
      </c>
      <c r="AT30" s="65"/>
      <c r="AU30" s="65"/>
      <c r="AV30" s="65"/>
      <c r="AW30" s="65"/>
      <c r="AX30" s="65"/>
      <c r="AY30" s="65"/>
      <c r="AZ30" s="65"/>
      <c r="BA30" s="65"/>
      <c r="BB30" s="65"/>
      <c r="BC30" s="65"/>
      <c r="BD30" s="65"/>
      <c r="BE30" s="65"/>
      <c r="BF30" s="65"/>
      <c r="BG30" s="65"/>
      <c r="BH30" s="68"/>
      <c r="BI30" s="65"/>
    </row>
    <row r="31" spans="1:61" ht="15">
      <c r="A31" s="4" t="s">
        <v>40</v>
      </c>
      <c r="B31" s="5" t="s">
        <v>670</v>
      </c>
      <c r="C31" s="49" t="s">
        <v>54</v>
      </c>
      <c r="D31" s="349">
        <f t="shared" si="0"/>
        <v>24</v>
      </c>
      <c r="E31" s="350" t="s">
        <v>736</v>
      </c>
      <c r="F31" s="51" t="s">
        <v>25</v>
      </c>
      <c r="G31" s="351" t="s">
        <v>683</v>
      </c>
      <c r="H31" s="351" t="s">
        <v>1438</v>
      </c>
      <c r="I31" s="351" t="s">
        <v>1439</v>
      </c>
      <c r="J31" s="351" t="s">
        <v>3729</v>
      </c>
      <c r="K31" s="354">
        <v>196566</v>
      </c>
      <c r="L31" s="355">
        <v>212473</v>
      </c>
      <c r="M31" s="354">
        <v>169153</v>
      </c>
      <c r="N31" s="355">
        <v>200976</v>
      </c>
      <c r="O31" s="355">
        <v>198500</v>
      </c>
      <c r="P31" s="355">
        <v>172291</v>
      </c>
      <c r="Q31" s="355">
        <v>176012</v>
      </c>
      <c r="R31" s="355">
        <v>177051</v>
      </c>
      <c r="S31" s="355">
        <v>192447</v>
      </c>
      <c r="T31" s="355">
        <v>187184</v>
      </c>
      <c r="U31" s="59">
        <f t="shared" si="2"/>
        <v>169153</v>
      </c>
      <c r="V31" s="59">
        <f t="shared" si="3"/>
        <v>212473</v>
      </c>
      <c r="W31" s="59">
        <f t="shared" si="4"/>
        <v>188265.3</v>
      </c>
      <c r="X31" s="60">
        <f t="shared" si="5"/>
        <v>95.22704842139535</v>
      </c>
      <c r="Y31" s="65">
        <v>30</v>
      </c>
      <c r="Z31" s="65" t="str">
        <f>_xlfn.IFERROR(INDEX('Tabela PW'!$C:$F,'Słownik PW'!C31,1),"")</f>
        <v/>
      </c>
      <c r="AA31" s="65" t="str">
        <f>_xlfn.IFERROR(INDEX('Tabela PW'!$C:$F,'Słownik PW'!C31,4),"")</f>
        <v/>
      </c>
      <c r="AB31" s="65" t="str">
        <f t="shared" si="1"/>
        <v/>
      </c>
      <c r="AC31" s="65" t="str">
        <f>_xlfn.IFERROR(INDEX('Tabela PW'!$K:$K,'Słownik PW'!C31,1),"")</f>
        <v/>
      </c>
      <c r="AD31" s="65" t="str">
        <f>_xlfn.IFERROR(INDEX('Tabela PW'!$L:$L,'Słownik PW'!C31,1),"")</f>
        <v/>
      </c>
      <c r="AE31" s="65" t="str">
        <f>_xlfn.IFERROR(INDEX('Tabela PW'!$M:$M,'Słownik PW'!C31,1),"")</f>
        <v/>
      </c>
      <c r="AF31" s="65" t="str">
        <f>_xlfn.IFERROR(INDEX('Tabela PW'!$N:$N,'Słownik PW'!C31,1),"")</f>
        <v/>
      </c>
      <c r="AG31" s="65" t="str">
        <f>_xlfn.IFERROR(INDEX('Tabela PW'!$O:$O,'Słownik PW'!C31,1),"")</f>
        <v/>
      </c>
      <c r="AH31" s="65" t="str">
        <f>_xlfn.IFERROR(INDEX('Tabela PW'!$P:$P,'Słownik PW'!C31,1),"")</f>
        <v/>
      </c>
      <c r="AI31" s="65" t="str">
        <f>_xlfn.IFERROR(INDEX('Tabela PW'!$Q:$Q,'Słownik PW'!C31,1),"")</f>
        <v/>
      </c>
      <c r="AJ31" s="65" t="str">
        <f>_xlfn.IFERROR(INDEX('Tabela PW'!$R:$R,'Słownik PW'!C31,1),"")</f>
        <v/>
      </c>
      <c r="AK31" s="65" t="str">
        <f>_xlfn.IFERROR(INDEX('Tabela PW'!$S:$S,'Słownik PW'!C31,1),"")</f>
        <v/>
      </c>
      <c r="AL31" s="65" t="str">
        <f>_xlfn.IFERROR(INDEX('Tabela PW'!$T:$T,'Słownik PW'!C31,1),"")</f>
        <v/>
      </c>
      <c r="AM31" s="65" t="str">
        <f>_xlfn.IFERROR(INDEX('Tabela PW'!$U:$X,'Słownik PW'!C31,1),"")</f>
        <v/>
      </c>
      <c r="AN31" s="65" t="str">
        <f>_xlfn.IFERROR(INDEX('Tabela PW'!$U:$X,'Słownik PW'!C31,2),"")</f>
        <v/>
      </c>
      <c r="AO31" s="66" t="str">
        <f>_xlfn.IFERROR(INDEX('Tabela PW'!$U:$X,'Słownik PW'!C31,3),"")</f>
        <v/>
      </c>
      <c r="AP31" s="67" t="str">
        <f>_xlfn.IFERROR(INDEX('Tabela PW'!$U:$X,'Słownik PW'!C31,4),"")</f>
        <v/>
      </c>
      <c r="AQ31" s="66" t="str">
        <f>_xlfn.IFERROR(INDEX('Tabela PW'!$U:$X,'Słownik PW'!C31,5),"")</f>
        <v/>
      </c>
      <c r="AR31" s="67" t="str">
        <f>_xlfn.IFERROR(INDEX('Tabela PW'!$U:$X,'Słownik PW'!C31,6),"")</f>
        <v/>
      </c>
      <c r="AS31" s="67" t="str">
        <f>_xlfn.IFERROR(INDEX('Tabela PW'!$U:$X,'Słownik PW'!C31,7),"")</f>
        <v/>
      </c>
      <c r="AT31" s="65"/>
      <c r="AU31" s="65"/>
      <c r="AV31" s="65"/>
      <c r="AW31" s="65"/>
      <c r="AX31" s="65"/>
      <c r="AY31" s="65"/>
      <c r="AZ31" s="65"/>
      <c r="BA31" s="65"/>
      <c r="BB31" s="65"/>
      <c r="BC31" s="65"/>
      <c r="BD31" s="65"/>
      <c r="BE31" s="65"/>
      <c r="BF31" s="65"/>
      <c r="BG31" s="65"/>
      <c r="BH31" s="68"/>
      <c r="BI31" s="65"/>
    </row>
    <row r="32" spans="1:61" ht="15">
      <c r="A32" s="4" t="s">
        <v>40</v>
      </c>
      <c r="B32" s="5" t="s">
        <v>670</v>
      </c>
      <c r="C32" s="49" t="s">
        <v>55</v>
      </c>
      <c r="D32" s="349">
        <f t="shared" si="0"/>
        <v>17</v>
      </c>
      <c r="E32" s="350" t="s">
        <v>737</v>
      </c>
      <c r="F32" s="51" t="s">
        <v>25</v>
      </c>
      <c r="G32" s="351" t="s">
        <v>683</v>
      </c>
      <c r="H32" s="351" t="s">
        <v>1440</v>
      </c>
      <c r="I32" s="351" t="s">
        <v>1441</v>
      </c>
      <c r="J32" s="351" t="s">
        <v>3730</v>
      </c>
      <c r="K32" s="354">
        <v>106908</v>
      </c>
      <c r="L32" s="355">
        <v>174080</v>
      </c>
      <c r="M32" s="354">
        <v>149521</v>
      </c>
      <c r="N32" s="355">
        <v>154850</v>
      </c>
      <c r="O32" s="355">
        <v>138644</v>
      </c>
      <c r="P32" s="355">
        <v>145082</v>
      </c>
      <c r="Q32" s="355">
        <v>125350</v>
      </c>
      <c r="R32" s="355">
        <v>107447</v>
      </c>
      <c r="S32" s="355">
        <v>118970</v>
      </c>
      <c r="T32" s="355">
        <v>97916</v>
      </c>
      <c r="U32" s="59">
        <f t="shared" si="2"/>
        <v>97916</v>
      </c>
      <c r="V32" s="59">
        <f t="shared" si="3"/>
        <v>174080</v>
      </c>
      <c r="W32" s="59">
        <f t="shared" si="4"/>
        <v>131876.8</v>
      </c>
      <c r="X32" s="60">
        <f t="shared" si="5"/>
        <v>91.58902982003218</v>
      </c>
      <c r="Y32" s="65">
        <v>31</v>
      </c>
      <c r="Z32" s="65" t="str">
        <f>_xlfn.IFERROR(INDEX('Tabela PW'!$C:$F,'Słownik PW'!C32,1),"")</f>
        <v/>
      </c>
      <c r="AA32" s="65" t="str">
        <f>_xlfn.IFERROR(INDEX('Tabela PW'!$C:$F,'Słownik PW'!C32,4),"")</f>
        <v/>
      </c>
      <c r="AB32" s="65" t="str">
        <f t="shared" si="1"/>
        <v/>
      </c>
      <c r="AC32" s="65" t="str">
        <f>_xlfn.IFERROR(INDEX('Tabela PW'!$K:$K,'Słownik PW'!C32,1),"")</f>
        <v/>
      </c>
      <c r="AD32" s="65" t="str">
        <f>_xlfn.IFERROR(INDEX('Tabela PW'!$L:$L,'Słownik PW'!C32,1),"")</f>
        <v/>
      </c>
      <c r="AE32" s="65" t="str">
        <f>_xlfn.IFERROR(INDEX('Tabela PW'!$M:$M,'Słownik PW'!C32,1),"")</f>
        <v/>
      </c>
      <c r="AF32" s="65" t="str">
        <f>_xlfn.IFERROR(INDEX('Tabela PW'!$N:$N,'Słownik PW'!C32,1),"")</f>
        <v/>
      </c>
      <c r="AG32" s="65" t="str">
        <f>_xlfn.IFERROR(INDEX('Tabela PW'!$O:$O,'Słownik PW'!C32,1),"")</f>
        <v/>
      </c>
      <c r="AH32" s="65" t="str">
        <f>_xlfn.IFERROR(INDEX('Tabela PW'!$P:$P,'Słownik PW'!C32,1),"")</f>
        <v/>
      </c>
      <c r="AI32" s="65" t="str">
        <f>_xlfn.IFERROR(INDEX('Tabela PW'!$Q:$Q,'Słownik PW'!C32,1),"")</f>
        <v/>
      </c>
      <c r="AJ32" s="65" t="str">
        <f>_xlfn.IFERROR(INDEX('Tabela PW'!$R:$R,'Słownik PW'!C32,1),"")</f>
        <v/>
      </c>
      <c r="AK32" s="65" t="str">
        <f>_xlfn.IFERROR(INDEX('Tabela PW'!$S:$S,'Słownik PW'!C32,1),"")</f>
        <v/>
      </c>
      <c r="AL32" s="65" t="str">
        <f>_xlfn.IFERROR(INDEX('Tabela PW'!$T:$T,'Słownik PW'!C32,1),"")</f>
        <v/>
      </c>
      <c r="AM32" s="65" t="str">
        <f>_xlfn.IFERROR(INDEX('Tabela PW'!$U:$X,'Słownik PW'!C32,1),"")</f>
        <v/>
      </c>
      <c r="AN32" s="65" t="str">
        <f>_xlfn.IFERROR(INDEX('Tabela PW'!$U:$X,'Słownik PW'!C32,2),"")</f>
        <v/>
      </c>
      <c r="AO32" s="66" t="str">
        <f>_xlfn.IFERROR(INDEX('Tabela PW'!$U:$X,'Słownik PW'!C32,3),"")</f>
        <v/>
      </c>
      <c r="AP32" s="67" t="str">
        <f>_xlfn.IFERROR(INDEX('Tabela PW'!$U:$X,'Słownik PW'!C32,4),"")</f>
        <v/>
      </c>
      <c r="AQ32" s="66" t="str">
        <f>_xlfn.IFERROR(INDEX('Tabela PW'!$U:$X,'Słownik PW'!C32,5),"")</f>
        <v/>
      </c>
      <c r="AR32" s="67" t="str">
        <f>_xlfn.IFERROR(INDEX('Tabela PW'!$U:$X,'Słownik PW'!C32,6),"")</f>
        <v/>
      </c>
      <c r="AS32" s="67" t="str">
        <f>_xlfn.IFERROR(INDEX('Tabela PW'!$U:$X,'Słownik PW'!C32,7),"")</f>
        <v/>
      </c>
      <c r="AT32" s="65"/>
      <c r="AU32" s="65"/>
      <c r="AV32" s="65"/>
      <c r="AW32" s="65"/>
      <c r="AX32" s="65"/>
      <c r="AY32" s="65"/>
      <c r="AZ32" s="65"/>
      <c r="BA32" s="65"/>
      <c r="BB32" s="65"/>
      <c r="BC32" s="65"/>
      <c r="BD32" s="65"/>
      <c r="BE32" s="65"/>
      <c r="BF32" s="65"/>
      <c r="BG32" s="65"/>
      <c r="BH32" s="68"/>
      <c r="BI32" s="65"/>
    </row>
    <row r="33" spans="1:61" ht="15">
      <c r="A33" s="4" t="s">
        <v>40</v>
      </c>
      <c r="B33" s="5" t="s">
        <v>670</v>
      </c>
      <c r="C33" s="49" t="s">
        <v>56</v>
      </c>
      <c r="D33" s="349">
        <f t="shared" si="0"/>
        <v>24</v>
      </c>
      <c r="E33" s="350" t="s">
        <v>738</v>
      </c>
      <c r="F33" s="51" t="s">
        <v>25</v>
      </c>
      <c r="G33" s="351" t="s">
        <v>683</v>
      </c>
      <c r="H33" s="351" t="s">
        <v>1442</v>
      </c>
      <c r="I33" s="351" t="s">
        <v>1443</v>
      </c>
      <c r="J33" s="351" t="s">
        <v>3731</v>
      </c>
      <c r="K33" s="354">
        <v>81667</v>
      </c>
      <c r="L33" s="355">
        <v>136380</v>
      </c>
      <c r="M33" s="354">
        <v>118878</v>
      </c>
      <c r="N33" s="355">
        <v>117505</v>
      </c>
      <c r="O33" s="355">
        <v>111455</v>
      </c>
      <c r="P33" s="355">
        <v>115922</v>
      </c>
      <c r="Q33" s="355">
        <v>102807</v>
      </c>
      <c r="R33" s="355">
        <v>89956</v>
      </c>
      <c r="S33" s="355">
        <v>98581</v>
      </c>
      <c r="T33" s="355">
        <v>82095</v>
      </c>
      <c r="U33" s="59">
        <f t="shared" si="2"/>
        <v>81667</v>
      </c>
      <c r="V33" s="59">
        <f t="shared" si="3"/>
        <v>136380</v>
      </c>
      <c r="W33" s="59">
        <f t="shared" si="4"/>
        <v>105524.6</v>
      </c>
      <c r="X33" s="60">
        <f t="shared" si="5"/>
        <v>100.52407949355309</v>
      </c>
      <c r="Y33" s="65">
        <v>32</v>
      </c>
      <c r="Z33" s="65" t="str">
        <f>_xlfn.IFERROR(INDEX('Tabela PW'!$C:$F,'Słownik PW'!C33,1),"")</f>
        <v/>
      </c>
      <c r="AA33" s="65" t="str">
        <f>_xlfn.IFERROR(INDEX('Tabela PW'!$C:$F,'Słownik PW'!C33,4),"")</f>
        <v/>
      </c>
      <c r="AB33" s="65" t="str">
        <f t="shared" si="1"/>
        <v/>
      </c>
      <c r="AC33" s="65" t="str">
        <f>_xlfn.IFERROR(INDEX('Tabela PW'!$K:$K,'Słownik PW'!C33,1),"")</f>
        <v/>
      </c>
      <c r="AD33" s="65" t="str">
        <f>_xlfn.IFERROR(INDEX('Tabela PW'!$L:$L,'Słownik PW'!C33,1),"")</f>
        <v/>
      </c>
      <c r="AE33" s="65" t="str">
        <f>_xlfn.IFERROR(INDEX('Tabela PW'!$M:$M,'Słownik PW'!C33,1),"")</f>
        <v/>
      </c>
      <c r="AF33" s="65" t="str">
        <f>_xlfn.IFERROR(INDEX('Tabela PW'!$N:$N,'Słownik PW'!C33,1),"")</f>
        <v/>
      </c>
      <c r="AG33" s="65" t="str">
        <f>_xlfn.IFERROR(INDEX('Tabela PW'!$O:$O,'Słownik PW'!C33,1),"")</f>
        <v/>
      </c>
      <c r="AH33" s="65" t="str">
        <f>_xlfn.IFERROR(INDEX('Tabela PW'!$P:$P,'Słownik PW'!C33,1),"")</f>
        <v/>
      </c>
      <c r="AI33" s="65" t="str">
        <f>_xlfn.IFERROR(INDEX('Tabela PW'!$Q:$Q,'Słownik PW'!C33,1),"")</f>
        <v/>
      </c>
      <c r="AJ33" s="65" t="str">
        <f>_xlfn.IFERROR(INDEX('Tabela PW'!$R:$R,'Słownik PW'!C33,1),"")</f>
        <v/>
      </c>
      <c r="AK33" s="65" t="str">
        <f>_xlfn.IFERROR(INDEX('Tabela PW'!$S:$S,'Słownik PW'!C33,1),"")</f>
        <v/>
      </c>
      <c r="AL33" s="65" t="str">
        <f>_xlfn.IFERROR(INDEX('Tabela PW'!$T:$T,'Słownik PW'!C33,1),"")</f>
        <v/>
      </c>
      <c r="AM33" s="65" t="str">
        <f>_xlfn.IFERROR(INDEX('Tabela PW'!$U:$X,'Słownik PW'!C33,1),"")</f>
        <v/>
      </c>
      <c r="AN33" s="65" t="str">
        <f>_xlfn.IFERROR(INDEX('Tabela PW'!$U:$X,'Słownik PW'!C33,2),"")</f>
        <v/>
      </c>
      <c r="AO33" s="66" t="str">
        <f>_xlfn.IFERROR(INDEX('Tabela PW'!$U:$X,'Słownik PW'!C33,3),"")</f>
        <v/>
      </c>
      <c r="AP33" s="67" t="str">
        <f>_xlfn.IFERROR(INDEX('Tabela PW'!$U:$X,'Słownik PW'!C33,4),"")</f>
        <v/>
      </c>
      <c r="AQ33" s="66" t="str">
        <f>_xlfn.IFERROR(INDEX('Tabela PW'!$U:$X,'Słownik PW'!C33,5),"")</f>
        <v/>
      </c>
      <c r="AR33" s="67" t="str">
        <f>_xlfn.IFERROR(INDEX('Tabela PW'!$U:$X,'Słownik PW'!C33,6),"")</f>
        <v/>
      </c>
      <c r="AS33" s="67" t="str">
        <f>_xlfn.IFERROR(INDEX('Tabela PW'!$U:$X,'Słownik PW'!C33,7),"")</f>
        <v/>
      </c>
      <c r="AT33" s="65"/>
      <c r="AU33" s="65"/>
      <c r="AV33" s="65"/>
      <c r="AW33" s="65"/>
      <c r="AX33" s="65"/>
      <c r="AY33" s="65"/>
      <c r="AZ33" s="65"/>
      <c r="BA33" s="65"/>
      <c r="BB33" s="65"/>
      <c r="BC33" s="65"/>
      <c r="BD33" s="65"/>
      <c r="BE33" s="65"/>
      <c r="BF33" s="65"/>
      <c r="BG33" s="65"/>
      <c r="BH33" s="68"/>
      <c r="BI33" s="65"/>
    </row>
    <row r="34" spans="1:61" ht="15">
      <c r="A34" s="4" t="s">
        <v>40</v>
      </c>
      <c r="B34" s="5" t="s">
        <v>670</v>
      </c>
      <c r="C34" s="49" t="s">
        <v>57</v>
      </c>
      <c r="D34" s="349">
        <f t="shared" si="0"/>
        <v>205</v>
      </c>
      <c r="E34" s="350" t="s">
        <v>739</v>
      </c>
      <c r="F34" s="51" t="s">
        <v>25</v>
      </c>
      <c r="G34" s="351" t="s">
        <v>683</v>
      </c>
      <c r="H34" s="351" t="s">
        <v>1444</v>
      </c>
      <c r="I34" s="351" t="s">
        <v>1445</v>
      </c>
      <c r="J34" s="351" t="s">
        <v>3732</v>
      </c>
      <c r="K34" s="354">
        <v>2048262</v>
      </c>
      <c r="L34" s="355">
        <v>3053106</v>
      </c>
      <c r="M34" s="354">
        <v>3784581</v>
      </c>
      <c r="N34" s="355">
        <v>2908096</v>
      </c>
      <c r="O34" s="355">
        <v>3703263</v>
      </c>
      <c r="P34" s="355">
        <v>5590598</v>
      </c>
      <c r="Q34" s="355">
        <v>2070814</v>
      </c>
      <c r="R34" s="355">
        <v>2033280</v>
      </c>
      <c r="S34" s="355">
        <v>3316910</v>
      </c>
      <c r="T34" s="355" t="s">
        <v>4602</v>
      </c>
      <c r="U34" s="59">
        <f t="shared" si="2"/>
        <v>2033280</v>
      </c>
      <c r="V34" s="59">
        <f t="shared" si="3"/>
        <v>5590598</v>
      </c>
      <c r="W34" s="59">
        <f t="shared" si="4"/>
        <v>3167656.6666666665</v>
      </c>
      <c r="X34" s="60" t="str">
        <f t="shared" si="5"/>
        <v>-</v>
      </c>
      <c r="Y34" s="65">
        <v>33</v>
      </c>
      <c r="Z34" s="65" t="str">
        <f>_xlfn.IFERROR(INDEX('Tabela PW'!$C:$F,'Słownik PW'!C34,1),"")</f>
        <v/>
      </c>
      <c r="AA34" s="65" t="str">
        <f>_xlfn.IFERROR(INDEX('Tabela PW'!$C:$F,'Słownik PW'!C34,4),"")</f>
        <v/>
      </c>
      <c r="AB34" s="65" t="str">
        <f aca="true" t="shared" si="10" ref="AB34:AB65">IF(Z34="","",CONCATENATE(Z34," - (JM  ",AA34,")"))</f>
        <v/>
      </c>
      <c r="AC34" s="65" t="str">
        <f>_xlfn.IFERROR(INDEX('Tabela PW'!$K:$K,'Słownik PW'!C34,1),"")</f>
        <v/>
      </c>
      <c r="AD34" s="65" t="str">
        <f>_xlfn.IFERROR(INDEX('Tabela PW'!$L:$L,'Słownik PW'!C34,1),"")</f>
        <v/>
      </c>
      <c r="AE34" s="65" t="str">
        <f>_xlfn.IFERROR(INDEX('Tabela PW'!$M:$M,'Słownik PW'!C34,1),"")</f>
        <v/>
      </c>
      <c r="AF34" s="65" t="str">
        <f>_xlfn.IFERROR(INDEX('Tabela PW'!$N:$N,'Słownik PW'!C34,1),"")</f>
        <v/>
      </c>
      <c r="AG34" s="65" t="str">
        <f>_xlfn.IFERROR(INDEX('Tabela PW'!$O:$O,'Słownik PW'!C34,1),"")</f>
        <v/>
      </c>
      <c r="AH34" s="65" t="str">
        <f>_xlfn.IFERROR(INDEX('Tabela PW'!$P:$P,'Słownik PW'!C34,1),"")</f>
        <v/>
      </c>
      <c r="AI34" s="65" t="str">
        <f>_xlfn.IFERROR(INDEX('Tabela PW'!$Q:$Q,'Słownik PW'!C34,1),"")</f>
        <v/>
      </c>
      <c r="AJ34" s="65" t="str">
        <f>_xlfn.IFERROR(INDEX('Tabela PW'!$R:$R,'Słownik PW'!C34,1),"")</f>
        <v/>
      </c>
      <c r="AK34" s="65" t="str">
        <f>_xlfn.IFERROR(INDEX('Tabela PW'!$S:$S,'Słownik PW'!C34,1),"")</f>
        <v/>
      </c>
      <c r="AL34" s="65" t="str">
        <f>_xlfn.IFERROR(INDEX('Tabela PW'!$T:$T,'Słownik PW'!C34,1),"")</f>
        <v/>
      </c>
      <c r="AM34" s="65" t="str">
        <f>_xlfn.IFERROR(INDEX('Tabela PW'!$U:$X,'Słownik PW'!C34,1),"")</f>
        <v/>
      </c>
      <c r="AN34" s="65" t="str">
        <f>_xlfn.IFERROR(INDEX('Tabela PW'!$U:$X,'Słownik PW'!C34,2),"")</f>
        <v/>
      </c>
      <c r="AO34" s="66" t="str">
        <f>_xlfn.IFERROR(INDEX('Tabela PW'!$U:$X,'Słownik PW'!C34,3),"")</f>
        <v/>
      </c>
      <c r="AP34" s="67" t="str">
        <f>_xlfn.IFERROR(INDEX('Tabela PW'!$U:$X,'Słownik PW'!C34,4),"")</f>
        <v/>
      </c>
      <c r="AQ34" s="66" t="str">
        <f>_xlfn.IFERROR(INDEX('Tabela PW'!$U:$X,'Słownik PW'!C34,5),"")</f>
        <v/>
      </c>
      <c r="AR34" s="67" t="str">
        <f>_xlfn.IFERROR(INDEX('Tabela PW'!$U:$X,'Słownik PW'!C34,6),"")</f>
        <v/>
      </c>
      <c r="AS34" s="67" t="str">
        <f>_xlfn.IFERROR(INDEX('Tabela PW'!$U:$X,'Słownik PW'!C34,7),"")</f>
        <v/>
      </c>
      <c r="AT34" s="65"/>
      <c r="AU34" s="65"/>
      <c r="AV34" s="65"/>
      <c r="AW34" s="65"/>
      <c r="AX34" s="65"/>
      <c r="AY34" s="65"/>
      <c r="AZ34" s="65"/>
      <c r="BA34" s="65"/>
      <c r="BB34" s="65"/>
      <c r="BC34" s="65"/>
      <c r="BD34" s="65"/>
      <c r="BE34" s="65"/>
      <c r="BF34" s="65"/>
      <c r="BG34" s="65"/>
      <c r="BH34" s="68"/>
      <c r="BI34" s="65"/>
    </row>
    <row r="35" spans="1:61" ht="15">
      <c r="A35" s="4" t="s">
        <v>40</v>
      </c>
      <c r="B35" s="5" t="s">
        <v>670</v>
      </c>
      <c r="C35" s="49" t="s">
        <v>58</v>
      </c>
      <c r="D35" s="349">
        <f t="shared" si="0"/>
        <v>26</v>
      </c>
      <c r="E35" s="350" t="s">
        <v>740</v>
      </c>
      <c r="F35" s="51" t="s">
        <v>25</v>
      </c>
      <c r="G35" s="351" t="s">
        <v>683</v>
      </c>
      <c r="H35" s="351" t="s">
        <v>1446</v>
      </c>
      <c r="I35" s="351" t="s">
        <v>1447</v>
      </c>
      <c r="J35" s="351" t="s">
        <v>3733</v>
      </c>
      <c r="K35" s="354">
        <v>517000</v>
      </c>
      <c r="L35" s="355">
        <v>657400</v>
      </c>
      <c r="M35" s="354">
        <v>676800</v>
      </c>
      <c r="N35" s="355">
        <v>526300</v>
      </c>
      <c r="O35" s="355">
        <v>605400</v>
      </c>
      <c r="P35" s="355">
        <v>627600</v>
      </c>
      <c r="Q35" s="355">
        <v>620500</v>
      </c>
      <c r="R35" s="355">
        <v>663000</v>
      </c>
      <c r="S35" s="355">
        <v>617370</v>
      </c>
      <c r="T35" s="355">
        <v>555470</v>
      </c>
      <c r="U35" s="59">
        <f t="shared" si="2"/>
        <v>517000</v>
      </c>
      <c r="V35" s="59">
        <f t="shared" si="3"/>
        <v>676800</v>
      </c>
      <c r="W35" s="59">
        <f t="shared" si="4"/>
        <v>606684</v>
      </c>
      <c r="X35" s="60">
        <f t="shared" si="5"/>
        <v>107.44100580270792</v>
      </c>
      <c r="Y35" s="65">
        <v>34</v>
      </c>
      <c r="Z35" s="65" t="str">
        <f>_xlfn.IFERROR(INDEX('Tabela PW'!$C:$F,'Słownik PW'!C35,1),"")</f>
        <v/>
      </c>
      <c r="AA35" s="65" t="str">
        <f>_xlfn.IFERROR(INDEX('Tabela PW'!$C:$F,'Słownik PW'!C35,4),"")</f>
        <v/>
      </c>
      <c r="AB35" s="65" t="str">
        <f t="shared" si="10"/>
        <v/>
      </c>
      <c r="AC35" s="65" t="str">
        <f>_xlfn.IFERROR(INDEX('Tabela PW'!$K:$K,'Słownik PW'!C35,1),"")</f>
        <v/>
      </c>
      <c r="AD35" s="65" t="str">
        <f>_xlfn.IFERROR(INDEX('Tabela PW'!$L:$L,'Słownik PW'!C35,1),"")</f>
        <v/>
      </c>
      <c r="AE35" s="65" t="str">
        <f>_xlfn.IFERROR(INDEX('Tabela PW'!$M:$M,'Słownik PW'!C35,1),"")</f>
        <v/>
      </c>
      <c r="AF35" s="65" t="str">
        <f>_xlfn.IFERROR(INDEX('Tabela PW'!$N:$N,'Słownik PW'!C35,1),"")</f>
        <v/>
      </c>
      <c r="AG35" s="65" t="str">
        <f>_xlfn.IFERROR(INDEX('Tabela PW'!$O:$O,'Słownik PW'!C35,1),"")</f>
        <v/>
      </c>
      <c r="AH35" s="65" t="str">
        <f>_xlfn.IFERROR(INDEX('Tabela PW'!$P:$P,'Słownik PW'!C35,1),"")</f>
        <v/>
      </c>
      <c r="AI35" s="65" t="str">
        <f>_xlfn.IFERROR(INDEX('Tabela PW'!$Q:$Q,'Słownik PW'!C35,1),"")</f>
        <v/>
      </c>
      <c r="AJ35" s="65" t="str">
        <f>_xlfn.IFERROR(INDEX('Tabela PW'!$R:$R,'Słownik PW'!C35,1),"")</f>
        <v/>
      </c>
      <c r="AK35" s="65" t="str">
        <f>_xlfn.IFERROR(INDEX('Tabela PW'!$S:$S,'Słownik PW'!C35,1),"")</f>
        <v/>
      </c>
      <c r="AL35" s="65" t="str">
        <f>_xlfn.IFERROR(INDEX('Tabela PW'!$T:$T,'Słownik PW'!C35,1),"")</f>
        <v/>
      </c>
      <c r="AM35" s="65" t="str">
        <f>_xlfn.IFERROR(INDEX('Tabela PW'!$U:$X,'Słownik PW'!C35,1),"")</f>
        <v/>
      </c>
      <c r="AN35" s="65" t="str">
        <f>_xlfn.IFERROR(INDEX('Tabela PW'!$U:$X,'Słownik PW'!C35,2),"")</f>
        <v/>
      </c>
      <c r="AO35" s="66" t="str">
        <f>_xlfn.IFERROR(INDEX('Tabela PW'!$U:$X,'Słownik PW'!C35,3),"")</f>
        <v/>
      </c>
      <c r="AP35" s="67" t="str">
        <f>_xlfn.IFERROR(INDEX('Tabela PW'!$U:$X,'Słownik PW'!C35,4),"")</f>
        <v/>
      </c>
      <c r="AQ35" s="66" t="str">
        <f>_xlfn.IFERROR(INDEX('Tabela PW'!$U:$X,'Słownik PW'!C35,5),"")</f>
        <v/>
      </c>
      <c r="AR35" s="67" t="str">
        <f>_xlfn.IFERROR(INDEX('Tabela PW'!$U:$X,'Słownik PW'!C35,6),"")</f>
        <v/>
      </c>
      <c r="AS35" s="67" t="str">
        <f>_xlfn.IFERROR(INDEX('Tabela PW'!$U:$X,'Słownik PW'!C35,7),"")</f>
        <v/>
      </c>
      <c r="AT35" s="65"/>
      <c r="AU35" s="65"/>
      <c r="AV35" s="65"/>
      <c r="AW35" s="65"/>
      <c r="AX35" s="65"/>
      <c r="AY35" s="65"/>
      <c r="AZ35" s="65"/>
      <c r="BA35" s="65"/>
      <c r="BB35" s="65"/>
      <c r="BC35" s="65"/>
      <c r="BD35" s="65"/>
      <c r="BE35" s="65"/>
      <c r="BF35" s="65"/>
      <c r="BG35" s="65"/>
      <c r="BH35" s="68"/>
      <c r="BI35" s="65"/>
    </row>
    <row r="36" spans="1:61" ht="15">
      <c r="A36" s="4" t="s">
        <v>40</v>
      </c>
      <c r="B36" s="5" t="s">
        <v>670</v>
      </c>
      <c r="C36" s="49" t="s">
        <v>58</v>
      </c>
      <c r="D36" s="349">
        <f t="shared" si="0"/>
        <v>26</v>
      </c>
      <c r="E36" s="350" t="s">
        <v>741</v>
      </c>
      <c r="F36" s="51" t="s">
        <v>59</v>
      </c>
      <c r="G36" s="351" t="s">
        <v>699</v>
      </c>
      <c r="H36" s="351" t="s">
        <v>1448</v>
      </c>
      <c r="I36" s="351" t="s">
        <v>1449</v>
      </c>
      <c r="J36" s="351" t="s">
        <v>3734</v>
      </c>
      <c r="K36" s="354">
        <v>516742</v>
      </c>
      <c r="L36" s="355">
        <v>657071</v>
      </c>
      <c r="M36" s="354">
        <v>676462</v>
      </c>
      <c r="N36" s="355">
        <v>526037</v>
      </c>
      <c r="O36" s="355">
        <v>605097</v>
      </c>
      <c r="P36" s="355">
        <v>627286</v>
      </c>
      <c r="Q36" s="355">
        <v>620190</v>
      </c>
      <c r="R36" s="355">
        <v>662669</v>
      </c>
      <c r="S36" s="355">
        <v>617062</v>
      </c>
      <c r="T36" s="355">
        <v>555192</v>
      </c>
      <c r="U36" s="59">
        <f t="shared" si="2"/>
        <v>516742</v>
      </c>
      <c r="V36" s="59">
        <f t="shared" si="3"/>
        <v>676462</v>
      </c>
      <c r="W36" s="59">
        <f t="shared" si="4"/>
        <v>606380.8</v>
      </c>
      <c r="X36" s="60">
        <f t="shared" si="5"/>
        <v>107.44085055985386</v>
      </c>
      <c r="Y36" s="65">
        <v>35</v>
      </c>
      <c r="Z36" s="65" t="str">
        <f>_xlfn.IFERROR(INDEX('Tabela PW'!$C:$F,'Słownik PW'!C36,1),"")</f>
        <v/>
      </c>
      <c r="AA36" s="65" t="str">
        <f>_xlfn.IFERROR(INDEX('Tabela PW'!$C:$F,'Słownik PW'!C36,4),"")</f>
        <v/>
      </c>
      <c r="AB36" s="65" t="str">
        <f t="shared" si="10"/>
        <v/>
      </c>
      <c r="AC36" s="65" t="str">
        <f>_xlfn.IFERROR(INDEX('Tabela PW'!$K:$K,'Słownik PW'!C36,1),"")</f>
        <v/>
      </c>
      <c r="AD36" s="65" t="str">
        <f>_xlfn.IFERROR(INDEX('Tabela PW'!$L:$L,'Słownik PW'!C36,1),"")</f>
        <v/>
      </c>
      <c r="AE36" s="65" t="str">
        <f>_xlfn.IFERROR(INDEX('Tabela PW'!$M:$M,'Słownik PW'!C36,1),"")</f>
        <v/>
      </c>
      <c r="AF36" s="65" t="str">
        <f>_xlfn.IFERROR(INDEX('Tabela PW'!$N:$N,'Słownik PW'!C36,1),"")</f>
        <v/>
      </c>
      <c r="AG36" s="65" t="str">
        <f>_xlfn.IFERROR(INDEX('Tabela PW'!$O:$O,'Słownik PW'!C36,1),"")</f>
        <v/>
      </c>
      <c r="AH36" s="65" t="str">
        <f>_xlfn.IFERROR(INDEX('Tabela PW'!$P:$P,'Słownik PW'!C36,1),"")</f>
        <v/>
      </c>
      <c r="AI36" s="65" t="str">
        <f>_xlfn.IFERROR(INDEX('Tabela PW'!$Q:$Q,'Słownik PW'!C36,1),"")</f>
        <v/>
      </c>
      <c r="AJ36" s="65" t="str">
        <f>_xlfn.IFERROR(INDEX('Tabela PW'!$R:$R,'Słownik PW'!C36,1),"")</f>
        <v/>
      </c>
      <c r="AK36" s="65" t="str">
        <f>_xlfn.IFERROR(INDEX('Tabela PW'!$S:$S,'Słownik PW'!C36,1),"")</f>
        <v/>
      </c>
      <c r="AL36" s="65" t="str">
        <f>_xlfn.IFERROR(INDEX('Tabela PW'!$T:$T,'Słownik PW'!C36,1),"")</f>
        <v/>
      </c>
      <c r="AM36" s="65" t="str">
        <f>_xlfn.IFERROR(INDEX('Tabela PW'!$U:$X,'Słownik PW'!C36,1),"")</f>
        <v/>
      </c>
      <c r="AN36" s="65" t="str">
        <f>_xlfn.IFERROR(INDEX('Tabela PW'!$U:$X,'Słownik PW'!C36,2),"")</f>
        <v/>
      </c>
      <c r="AO36" s="66" t="str">
        <f>_xlfn.IFERROR(INDEX('Tabela PW'!$U:$X,'Słownik PW'!C36,3),"")</f>
        <v/>
      </c>
      <c r="AP36" s="67" t="str">
        <f>_xlfn.IFERROR(INDEX('Tabela PW'!$U:$X,'Słownik PW'!C36,4),"")</f>
        <v/>
      </c>
      <c r="AQ36" s="66" t="str">
        <f>_xlfn.IFERROR(INDEX('Tabela PW'!$U:$X,'Słownik PW'!C36,5),"")</f>
        <v/>
      </c>
      <c r="AR36" s="67" t="str">
        <f>_xlfn.IFERROR(INDEX('Tabela PW'!$U:$X,'Słownik PW'!C36,6),"")</f>
        <v/>
      </c>
      <c r="AS36" s="67" t="str">
        <f>_xlfn.IFERROR(INDEX('Tabela PW'!$U:$X,'Słownik PW'!C36,7),"")</f>
        <v/>
      </c>
      <c r="AT36" s="65"/>
      <c r="AU36" s="65"/>
      <c r="AV36" s="65"/>
      <c r="AW36" s="65"/>
      <c r="AX36" s="65"/>
      <c r="AY36" s="65"/>
      <c r="AZ36" s="65"/>
      <c r="BA36" s="65"/>
      <c r="BB36" s="65"/>
      <c r="BC36" s="65"/>
      <c r="BD36" s="65"/>
      <c r="BE36" s="65"/>
      <c r="BF36" s="65"/>
      <c r="BG36" s="65"/>
      <c r="BH36" s="68"/>
      <c r="BI36" s="65"/>
    </row>
    <row r="37" spans="1:61" ht="15">
      <c r="A37" s="4" t="s">
        <v>40</v>
      </c>
      <c r="B37" s="5" t="s">
        <v>670</v>
      </c>
      <c r="C37" s="49" t="s">
        <v>60</v>
      </c>
      <c r="D37" s="349">
        <f t="shared" si="0"/>
        <v>54</v>
      </c>
      <c r="E37" s="350" t="s">
        <v>742</v>
      </c>
      <c r="F37" s="51" t="s">
        <v>25</v>
      </c>
      <c r="G37" s="351" t="s">
        <v>683</v>
      </c>
      <c r="H37" s="351" t="s">
        <v>1450</v>
      </c>
      <c r="I37" s="351" t="s">
        <v>1451</v>
      </c>
      <c r="J37" s="351" t="s">
        <v>3735</v>
      </c>
      <c r="K37" s="354">
        <v>671585</v>
      </c>
      <c r="L37" s="355">
        <v>745972</v>
      </c>
      <c r="M37" s="354">
        <v>761537</v>
      </c>
      <c r="N37" s="355">
        <v>817758</v>
      </c>
      <c r="O37" s="355">
        <v>829382</v>
      </c>
      <c r="P37" s="355">
        <v>876816</v>
      </c>
      <c r="Q37" s="355">
        <v>906954</v>
      </c>
      <c r="R37" s="355">
        <v>924618</v>
      </c>
      <c r="S37" s="355">
        <v>836905</v>
      </c>
      <c r="T37" s="355">
        <v>970164</v>
      </c>
      <c r="U37" s="59">
        <f t="shared" si="2"/>
        <v>671585</v>
      </c>
      <c r="V37" s="59">
        <f t="shared" si="3"/>
        <v>970164</v>
      </c>
      <c r="W37" s="59">
        <f t="shared" si="4"/>
        <v>834169.1</v>
      </c>
      <c r="X37" s="60">
        <f t="shared" si="5"/>
        <v>144.45885479872243</v>
      </c>
      <c r="Y37" s="65">
        <v>36</v>
      </c>
      <c r="Z37" s="65" t="str">
        <f>_xlfn.IFERROR(INDEX('Tabela PW'!$C:$F,'Słownik PW'!C37,1),"")</f>
        <v/>
      </c>
      <c r="AA37" s="65" t="str">
        <f>_xlfn.IFERROR(INDEX('Tabela PW'!$C:$F,'Słownik PW'!C37,4),"")</f>
        <v/>
      </c>
      <c r="AB37" s="65" t="str">
        <f t="shared" si="10"/>
        <v/>
      </c>
      <c r="AC37" s="65" t="str">
        <f>_xlfn.IFERROR(INDEX('Tabela PW'!$K:$K,'Słownik PW'!C37,1),"")</f>
        <v/>
      </c>
      <c r="AD37" s="65" t="str">
        <f>_xlfn.IFERROR(INDEX('Tabela PW'!$L:$L,'Słownik PW'!C37,1),"")</f>
        <v/>
      </c>
      <c r="AE37" s="65" t="str">
        <f>_xlfn.IFERROR(INDEX('Tabela PW'!$M:$M,'Słownik PW'!C37,1),"")</f>
        <v/>
      </c>
      <c r="AF37" s="65" t="str">
        <f>_xlfn.IFERROR(INDEX('Tabela PW'!$N:$N,'Słownik PW'!C37,1),"")</f>
        <v/>
      </c>
      <c r="AG37" s="65" t="str">
        <f>_xlfn.IFERROR(INDEX('Tabela PW'!$O:$O,'Słownik PW'!C37,1),"")</f>
        <v/>
      </c>
      <c r="AH37" s="65" t="str">
        <f>_xlfn.IFERROR(INDEX('Tabela PW'!$P:$P,'Słownik PW'!C37,1),"")</f>
        <v/>
      </c>
      <c r="AI37" s="65" t="str">
        <f>_xlfn.IFERROR(INDEX('Tabela PW'!$Q:$Q,'Słownik PW'!C37,1),"")</f>
        <v/>
      </c>
      <c r="AJ37" s="65" t="str">
        <f>_xlfn.IFERROR(INDEX('Tabela PW'!$R:$R,'Słownik PW'!C37,1),"")</f>
        <v/>
      </c>
      <c r="AK37" s="65" t="str">
        <f>_xlfn.IFERROR(INDEX('Tabela PW'!$S:$S,'Słownik PW'!C37,1),"")</f>
        <v/>
      </c>
      <c r="AL37" s="65" t="str">
        <f>_xlfn.IFERROR(INDEX('Tabela PW'!$T:$T,'Słownik PW'!C37,1),"")</f>
        <v/>
      </c>
      <c r="AM37" s="65" t="str">
        <f>_xlfn.IFERROR(INDEX('Tabela PW'!$U:$X,'Słownik PW'!C37,1),"")</f>
        <v/>
      </c>
      <c r="AN37" s="65" t="str">
        <f>_xlfn.IFERROR(INDEX('Tabela PW'!$U:$X,'Słownik PW'!C37,2),"")</f>
        <v/>
      </c>
      <c r="AO37" s="66" t="str">
        <f>_xlfn.IFERROR(INDEX('Tabela PW'!$U:$X,'Słownik PW'!C37,3),"")</f>
        <v/>
      </c>
      <c r="AP37" s="67" t="str">
        <f>_xlfn.IFERROR(INDEX('Tabela PW'!$U:$X,'Słownik PW'!C37,4),"")</f>
        <v/>
      </c>
      <c r="AQ37" s="66" t="str">
        <f>_xlfn.IFERROR(INDEX('Tabela PW'!$U:$X,'Słownik PW'!C37,5),"")</f>
        <v/>
      </c>
      <c r="AR37" s="67" t="str">
        <f>_xlfn.IFERROR(INDEX('Tabela PW'!$U:$X,'Słownik PW'!C37,6),"")</f>
        <v/>
      </c>
      <c r="AS37" s="67" t="str">
        <f>_xlfn.IFERROR(INDEX('Tabela PW'!$U:$X,'Słownik PW'!C37,7),"")</f>
        <v/>
      </c>
      <c r="AT37" s="65"/>
      <c r="AU37" s="65"/>
      <c r="AV37" s="65"/>
      <c r="AW37" s="65"/>
      <c r="AX37" s="65"/>
      <c r="AY37" s="65"/>
      <c r="AZ37" s="65"/>
      <c r="BA37" s="65"/>
      <c r="BB37" s="65"/>
      <c r="BC37" s="65"/>
      <c r="BD37" s="65"/>
      <c r="BE37" s="65"/>
      <c r="BF37" s="65"/>
      <c r="BG37" s="65"/>
      <c r="BH37" s="68"/>
      <c r="BI37" s="65"/>
    </row>
    <row r="38" spans="1:61" ht="15">
      <c r="A38" s="4" t="s">
        <v>40</v>
      </c>
      <c r="B38" s="5" t="s">
        <v>670</v>
      </c>
      <c r="C38" s="49" t="s">
        <v>61</v>
      </c>
      <c r="D38" s="349">
        <f t="shared" si="0"/>
        <v>43</v>
      </c>
      <c r="E38" s="350" t="s">
        <v>743</v>
      </c>
      <c r="F38" s="51" t="s">
        <v>25</v>
      </c>
      <c r="G38" s="351" t="s">
        <v>683</v>
      </c>
      <c r="H38" s="351" t="s">
        <v>1452</v>
      </c>
      <c r="I38" s="351" t="s">
        <v>1453</v>
      </c>
      <c r="J38" s="351" t="s">
        <v>3736</v>
      </c>
      <c r="K38" s="354">
        <v>4261892</v>
      </c>
      <c r="L38" s="355">
        <v>4414780</v>
      </c>
      <c r="M38" s="354">
        <v>4076333</v>
      </c>
      <c r="N38" s="355">
        <v>4545050</v>
      </c>
      <c r="O38" s="355">
        <v>3927600</v>
      </c>
      <c r="P38" s="355">
        <v>3924645</v>
      </c>
      <c r="Q38" s="355">
        <v>4101956</v>
      </c>
      <c r="R38" s="355">
        <v>4419476</v>
      </c>
      <c r="S38" s="355">
        <v>4279345</v>
      </c>
      <c r="T38" s="355">
        <v>4155686</v>
      </c>
      <c r="U38" s="59">
        <f t="shared" si="2"/>
        <v>3924645</v>
      </c>
      <c r="V38" s="59">
        <f t="shared" si="3"/>
        <v>4545050</v>
      </c>
      <c r="W38" s="59">
        <f t="shared" si="4"/>
        <v>4210676.3</v>
      </c>
      <c r="X38" s="60">
        <f t="shared" si="5"/>
        <v>97.50800818040439</v>
      </c>
      <c r="Y38" s="65">
        <v>37</v>
      </c>
      <c r="Z38" s="65" t="str">
        <f>_xlfn.IFERROR(INDEX('Tabela PW'!$C:$F,'Słownik PW'!C38,1),"")</f>
        <v/>
      </c>
      <c r="AA38" s="65" t="str">
        <f>_xlfn.IFERROR(INDEX('Tabela PW'!$C:$F,'Słownik PW'!C38,4),"")</f>
        <v/>
      </c>
      <c r="AB38" s="65" t="str">
        <f t="shared" si="10"/>
        <v/>
      </c>
      <c r="AC38" s="65" t="str">
        <f>_xlfn.IFERROR(INDEX('Tabela PW'!$K:$K,'Słownik PW'!C38,1),"")</f>
        <v/>
      </c>
      <c r="AD38" s="65" t="str">
        <f>_xlfn.IFERROR(INDEX('Tabela PW'!$L:$L,'Słownik PW'!C38,1),"")</f>
        <v/>
      </c>
      <c r="AE38" s="65" t="str">
        <f>_xlfn.IFERROR(INDEX('Tabela PW'!$M:$M,'Słownik PW'!C38,1),"")</f>
        <v/>
      </c>
      <c r="AF38" s="65" t="str">
        <f>_xlfn.IFERROR(INDEX('Tabela PW'!$N:$N,'Słownik PW'!C38,1),"")</f>
        <v/>
      </c>
      <c r="AG38" s="65" t="str">
        <f>_xlfn.IFERROR(INDEX('Tabela PW'!$O:$O,'Słownik PW'!C38,1),"")</f>
        <v/>
      </c>
      <c r="AH38" s="65" t="str">
        <f>_xlfn.IFERROR(INDEX('Tabela PW'!$P:$P,'Słownik PW'!C38,1),"")</f>
        <v/>
      </c>
      <c r="AI38" s="65" t="str">
        <f>_xlfn.IFERROR(INDEX('Tabela PW'!$Q:$Q,'Słownik PW'!C38,1),"")</f>
        <v/>
      </c>
      <c r="AJ38" s="65" t="str">
        <f>_xlfn.IFERROR(INDEX('Tabela PW'!$R:$R,'Słownik PW'!C38,1),"")</f>
        <v/>
      </c>
      <c r="AK38" s="65" t="str">
        <f>_xlfn.IFERROR(INDEX('Tabela PW'!$S:$S,'Słownik PW'!C38,1),"")</f>
        <v/>
      </c>
      <c r="AL38" s="65" t="str">
        <f>_xlfn.IFERROR(INDEX('Tabela PW'!$T:$T,'Słownik PW'!C38,1),"")</f>
        <v/>
      </c>
      <c r="AM38" s="65" t="str">
        <f>_xlfn.IFERROR(INDEX('Tabela PW'!$U:$X,'Słownik PW'!C38,1),"")</f>
        <v/>
      </c>
      <c r="AN38" s="65" t="str">
        <f>_xlfn.IFERROR(INDEX('Tabela PW'!$U:$X,'Słownik PW'!C38,2),"")</f>
        <v/>
      </c>
      <c r="AO38" s="66" t="str">
        <f>_xlfn.IFERROR(INDEX('Tabela PW'!$U:$X,'Słownik PW'!C38,3),"")</f>
        <v/>
      </c>
      <c r="AP38" s="67" t="str">
        <f>_xlfn.IFERROR(INDEX('Tabela PW'!$U:$X,'Słownik PW'!C38,4),"")</f>
        <v/>
      </c>
      <c r="AQ38" s="66" t="str">
        <f>_xlfn.IFERROR(INDEX('Tabela PW'!$U:$X,'Słownik PW'!C38,5),"")</f>
        <v/>
      </c>
      <c r="AR38" s="67" t="str">
        <f>_xlfn.IFERROR(INDEX('Tabela PW'!$U:$X,'Słownik PW'!C38,6),"")</f>
        <v/>
      </c>
      <c r="AS38" s="67" t="str">
        <f>_xlfn.IFERROR(INDEX('Tabela PW'!$U:$X,'Słownik PW'!C38,7),"")</f>
        <v/>
      </c>
      <c r="AT38" s="65"/>
      <c r="AU38" s="65"/>
      <c r="AV38" s="65"/>
      <c r="AW38" s="65"/>
      <c r="AX38" s="65"/>
      <c r="AY38" s="65"/>
      <c r="AZ38" s="65"/>
      <c r="BA38" s="65"/>
      <c r="BB38" s="65"/>
      <c r="BC38" s="65"/>
      <c r="BD38" s="65"/>
      <c r="BE38" s="65"/>
      <c r="BF38" s="65"/>
      <c r="BG38" s="65"/>
      <c r="BH38" s="68"/>
      <c r="BI38" s="65"/>
    </row>
    <row r="39" spans="1:61" ht="15">
      <c r="A39" s="4" t="s">
        <v>40</v>
      </c>
      <c r="B39" s="5" t="s">
        <v>670</v>
      </c>
      <c r="C39" s="49" t="s">
        <v>62</v>
      </c>
      <c r="D39" s="349">
        <f t="shared" si="0"/>
        <v>45</v>
      </c>
      <c r="E39" s="350" t="s">
        <v>744</v>
      </c>
      <c r="F39" s="51" t="s">
        <v>25</v>
      </c>
      <c r="G39" s="351" t="s">
        <v>683</v>
      </c>
      <c r="H39" s="351" t="s">
        <v>1454</v>
      </c>
      <c r="I39" s="351" t="s">
        <v>1455</v>
      </c>
      <c r="J39" s="351" t="s">
        <v>3737</v>
      </c>
      <c r="K39" s="354">
        <v>1221744</v>
      </c>
      <c r="L39" s="355">
        <v>1233839</v>
      </c>
      <c r="M39" s="354">
        <v>782528</v>
      </c>
      <c r="N39" s="355">
        <v>1310483</v>
      </c>
      <c r="O39" s="355">
        <v>763138</v>
      </c>
      <c r="P39" s="355">
        <v>639735</v>
      </c>
      <c r="Q39" s="355">
        <v>698607</v>
      </c>
      <c r="R39" s="355">
        <v>983863</v>
      </c>
      <c r="S39" s="355">
        <v>853210</v>
      </c>
      <c r="T39" s="355">
        <v>911644</v>
      </c>
      <c r="U39" s="59">
        <f t="shared" si="2"/>
        <v>639735</v>
      </c>
      <c r="V39" s="59">
        <f t="shared" si="3"/>
        <v>1310483</v>
      </c>
      <c r="W39" s="59">
        <f t="shared" si="4"/>
        <v>939879.1</v>
      </c>
      <c r="X39" s="60">
        <f t="shared" si="5"/>
        <v>74.6182506318836</v>
      </c>
      <c r="Y39" s="65">
        <v>38</v>
      </c>
      <c r="Z39" s="65" t="str">
        <f>_xlfn.IFERROR(INDEX('Tabela PW'!$C:$F,'Słownik PW'!C39,1),"")</f>
        <v/>
      </c>
      <c r="AA39" s="65" t="str">
        <f>_xlfn.IFERROR(INDEX('Tabela PW'!$C:$F,'Słownik PW'!C39,4),"")</f>
        <v/>
      </c>
      <c r="AB39" s="65" t="str">
        <f t="shared" si="10"/>
        <v/>
      </c>
      <c r="AC39" s="65" t="str">
        <f>_xlfn.IFERROR(INDEX('Tabela PW'!$K:$K,'Słownik PW'!C39,1),"")</f>
        <v/>
      </c>
      <c r="AD39" s="65" t="str">
        <f>_xlfn.IFERROR(INDEX('Tabela PW'!$L:$L,'Słownik PW'!C39,1),"")</f>
        <v/>
      </c>
      <c r="AE39" s="65" t="str">
        <f>_xlfn.IFERROR(INDEX('Tabela PW'!$M:$M,'Słownik PW'!C39,1),"")</f>
        <v/>
      </c>
      <c r="AF39" s="65" t="str">
        <f>_xlfn.IFERROR(INDEX('Tabela PW'!$N:$N,'Słownik PW'!C39,1),"")</f>
        <v/>
      </c>
      <c r="AG39" s="65" t="str">
        <f>_xlfn.IFERROR(INDEX('Tabela PW'!$O:$O,'Słownik PW'!C39,1),"")</f>
        <v/>
      </c>
      <c r="AH39" s="65" t="str">
        <f>_xlfn.IFERROR(INDEX('Tabela PW'!$P:$P,'Słownik PW'!C39,1),"")</f>
        <v/>
      </c>
      <c r="AI39" s="65" t="str">
        <f>_xlfn.IFERROR(INDEX('Tabela PW'!$Q:$Q,'Słownik PW'!C39,1),"")</f>
        <v/>
      </c>
      <c r="AJ39" s="65" t="str">
        <f>_xlfn.IFERROR(INDEX('Tabela PW'!$R:$R,'Słownik PW'!C39,1),"")</f>
        <v/>
      </c>
      <c r="AK39" s="65" t="str">
        <f>_xlfn.IFERROR(INDEX('Tabela PW'!$S:$S,'Słownik PW'!C39,1),"")</f>
        <v/>
      </c>
      <c r="AL39" s="65" t="str">
        <f>_xlfn.IFERROR(INDEX('Tabela PW'!$T:$T,'Słownik PW'!C39,1),"")</f>
        <v/>
      </c>
      <c r="AM39" s="65" t="str">
        <f>_xlfn.IFERROR(INDEX('Tabela PW'!$U:$X,'Słownik PW'!C39,1),"")</f>
        <v/>
      </c>
      <c r="AN39" s="65" t="str">
        <f>_xlfn.IFERROR(INDEX('Tabela PW'!$U:$X,'Słownik PW'!C39,2),"")</f>
        <v/>
      </c>
      <c r="AO39" s="66" t="str">
        <f>_xlfn.IFERROR(INDEX('Tabela PW'!$U:$X,'Słownik PW'!C39,3),"")</f>
        <v/>
      </c>
      <c r="AP39" s="67" t="str">
        <f>_xlfn.IFERROR(INDEX('Tabela PW'!$U:$X,'Słownik PW'!C39,4),"")</f>
        <v/>
      </c>
      <c r="AQ39" s="66" t="str">
        <f>_xlfn.IFERROR(INDEX('Tabela PW'!$U:$X,'Słownik PW'!C39,5),"")</f>
        <v/>
      </c>
      <c r="AR39" s="67" t="str">
        <f>_xlfn.IFERROR(INDEX('Tabela PW'!$U:$X,'Słownik PW'!C39,6),"")</f>
        <v/>
      </c>
      <c r="AS39" s="67" t="str">
        <f>_xlfn.IFERROR(INDEX('Tabela PW'!$U:$X,'Słownik PW'!C39,7),"")</f>
        <v/>
      </c>
      <c r="AT39" s="65"/>
      <c r="AU39" s="65"/>
      <c r="AV39" s="65"/>
      <c r="AW39" s="65"/>
      <c r="AX39" s="65"/>
      <c r="AY39" s="65"/>
      <c r="AZ39" s="65"/>
      <c r="BA39" s="65"/>
      <c r="BB39" s="65"/>
      <c r="BC39" s="65"/>
      <c r="BD39" s="65"/>
      <c r="BE39" s="65"/>
      <c r="BF39" s="65"/>
      <c r="BG39" s="65"/>
      <c r="BH39" s="68"/>
      <c r="BI39" s="65"/>
    </row>
    <row r="40" spans="1:61" ht="15">
      <c r="A40" s="4" t="s">
        <v>40</v>
      </c>
      <c r="B40" s="5" t="s">
        <v>670</v>
      </c>
      <c r="C40" s="49" t="s">
        <v>63</v>
      </c>
      <c r="D40" s="349">
        <f t="shared" si="0"/>
        <v>44</v>
      </c>
      <c r="E40" s="350" t="s">
        <v>745</v>
      </c>
      <c r="F40" s="51" t="s">
        <v>25</v>
      </c>
      <c r="G40" s="351" t="s">
        <v>683</v>
      </c>
      <c r="H40" s="351" t="s">
        <v>1456</v>
      </c>
      <c r="I40" s="351" t="s">
        <v>1457</v>
      </c>
      <c r="J40" s="351" t="s">
        <v>3738</v>
      </c>
      <c r="K40" s="354">
        <v>410302</v>
      </c>
      <c r="L40" s="355">
        <v>414585</v>
      </c>
      <c r="M40" s="354">
        <v>402400</v>
      </c>
      <c r="N40" s="355">
        <v>420953</v>
      </c>
      <c r="O40" s="355">
        <v>395039</v>
      </c>
      <c r="P40" s="355">
        <v>406676</v>
      </c>
      <c r="Q40" s="355">
        <v>380076</v>
      </c>
      <c r="R40" s="355">
        <v>348606</v>
      </c>
      <c r="S40" s="355">
        <v>383951</v>
      </c>
      <c r="T40" s="355">
        <v>360884</v>
      </c>
      <c r="U40" s="59">
        <f t="shared" si="2"/>
        <v>348606</v>
      </c>
      <c r="V40" s="59">
        <f t="shared" si="3"/>
        <v>420953</v>
      </c>
      <c r="W40" s="59">
        <f t="shared" si="4"/>
        <v>392347.2</v>
      </c>
      <c r="X40" s="60">
        <f t="shared" si="5"/>
        <v>87.95570092273496</v>
      </c>
      <c r="Y40" s="65">
        <v>39</v>
      </c>
      <c r="Z40" s="65" t="str">
        <f>_xlfn.IFERROR(INDEX('Tabela PW'!$C:$F,'Słownik PW'!C40,1),"")</f>
        <v/>
      </c>
      <c r="AA40" s="65" t="str">
        <f>_xlfn.IFERROR(INDEX('Tabela PW'!$C:$F,'Słownik PW'!C40,4),"")</f>
        <v/>
      </c>
      <c r="AB40" s="65" t="str">
        <f t="shared" si="10"/>
        <v/>
      </c>
      <c r="AC40" s="65" t="str">
        <f>_xlfn.IFERROR(INDEX('Tabela PW'!$K:$K,'Słownik PW'!C40,1),"")</f>
        <v/>
      </c>
      <c r="AD40" s="65" t="str">
        <f>_xlfn.IFERROR(INDEX('Tabela PW'!$L:$L,'Słownik PW'!C40,1),"")</f>
        <v/>
      </c>
      <c r="AE40" s="65" t="str">
        <f>_xlfn.IFERROR(INDEX('Tabela PW'!$M:$M,'Słownik PW'!C40,1),"")</f>
        <v/>
      </c>
      <c r="AF40" s="65" t="str">
        <f>_xlfn.IFERROR(INDEX('Tabela PW'!$N:$N,'Słownik PW'!C40,1),"")</f>
        <v/>
      </c>
      <c r="AG40" s="65" t="str">
        <f>_xlfn.IFERROR(INDEX('Tabela PW'!$O:$O,'Słownik PW'!C40,1),"")</f>
        <v/>
      </c>
      <c r="AH40" s="65" t="str">
        <f>_xlfn.IFERROR(INDEX('Tabela PW'!$P:$P,'Słownik PW'!C40,1),"")</f>
        <v/>
      </c>
      <c r="AI40" s="65" t="str">
        <f>_xlfn.IFERROR(INDEX('Tabela PW'!$Q:$Q,'Słownik PW'!C40,1),"")</f>
        <v/>
      </c>
      <c r="AJ40" s="65" t="str">
        <f>_xlfn.IFERROR(INDEX('Tabela PW'!$R:$R,'Słownik PW'!C40,1),"")</f>
        <v/>
      </c>
      <c r="AK40" s="65" t="str">
        <f>_xlfn.IFERROR(INDEX('Tabela PW'!$S:$S,'Słownik PW'!C40,1),"")</f>
        <v/>
      </c>
      <c r="AL40" s="65" t="str">
        <f>_xlfn.IFERROR(INDEX('Tabela PW'!$T:$T,'Słownik PW'!C40,1),"")</f>
        <v/>
      </c>
      <c r="AM40" s="65" t="str">
        <f>_xlfn.IFERROR(INDEX('Tabela PW'!$U:$X,'Słownik PW'!C40,1),"")</f>
        <v/>
      </c>
      <c r="AN40" s="65" t="str">
        <f>_xlfn.IFERROR(INDEX('Tabela PW'!$U:$X,'Słownik PW'!C40,2),"")</f>
        <v/>
      </c>
      <c r="AO40" s="66" t="str">
        <f>_xlfn.IFERROR(INDEX('Tabela PW'!$U:$X,'Słownik PW'!C40,3),"")</f>
        <v/>
      </c>
      <c r="AP40" s="67" t="str">
        <f>_xlfn.IFERROR(INDEX('Tabela PW'!$U:$X,'Słownik PW'!C40,4),"")</f>
        <v/>
      </c>
      <c r="AQ40" s="66" t="str">
        <f>_xlfn.IFERROR(INDEX('Tabela PW'!$U:$X,'Słownik PW'!C40,5),"")</f>
        <v/>
      </c>
      <c r="AR40" s="67" t="str">
        <f>_xlfn.IFERROR(INDEX('Tabela PW'!$U:$X,'Słownik PW'!C40,6),"")</f>
        <v/>
      </c>
      <c r="AS40" s="67" t="str">
        <f>_xlfn.IFERROR(INDEX('Tabela PW'!$U:$X,'Słownik PW'!C40,7),"")</f>
        <v/>
      </c>
      <c r="AT40" s="65"/>
      <c r="AU40" s="65"/>
      <c r="AV40" s="65"/>
      <c r="AW40" s="65"/>
      <c r="AX40" s="65"/>
      <c r="AY40" s="65"/>
      <c r="AZ40" s="65"/>
      <c r="BA40" s="65"/>
      <c r="BB40" s="65"/>
      <c r="BC40" s="65"/>
      <c r="BD40" s="65"/>
      <c r="BE40" s="65"/>
      <c r="BF40" s="65"/>
      <c r="BG40" s="65"/>
      <c r="BH40" s="68"/>
      <c r="BI40" s="65"/>
    </row>
    <row r="41" spans="1:61" ht="15">
      <c r="A41" s="4" t="s">
        <v>40</v>
      </c>
      <c r="B41" s="5" t="s">
        <v>670</v>
      </c>
      <c r="C41" s="49" t="s">
        <v>64</v>
      </c>
      <c r="D41" s="349">
        <f t="shared" si="0"/>
        <v>13</v>
      </c>
      <c r="E41" s="350" t="s">
        <v>746</v>
      </c>
      <c r="F41" s="51" t="s">
        <v>65</v>
      </c>
      <c r="G41" s="351" t="s">
        <v>694</v>
      </c>
      <c r="H41" s="351" t="s">
        <v>1458</v>
      </c>
      <c r="I41" s="351" t="s">
        <v>1459</v>
      </c>
      <c r="J41" s="351" t="s">
        <v>3739</v>
      </c>
      <c r="K41" s="354">
        <v>2464363</v>
      </c>
      <c r="L41" s="355">
        <v>2633277</v>
      </c>
      <c r="M41" s="354">
        <v>2732205</v>
      </c>
      <c r="N41" s="355">
        <v>2735459</v>
      </c>
      <c r="O41" s="355">
        <v>2705091</v>
      </c>
      <c r="P41" s="355">
        <v>2797703</v>
      </c>
      <c r="Q41" s="355">
        <v>2964690</v>
      </c>
      <c r="R41" s="355">
        <v>2988847</v>
      </c>
      <c r="S41" s="355">
        <v>2928781</v>
      </c>
      <c r="T41" s="355">
        <v>2928782</v>
      </c>
      <c r="U41" s="59">
        <f t="shared" si="2"/>
        <v>2464363</v>
      </c>
      <c r="V41" s="59">
        <f t="shared" si="3"/>
        <v>2988847</v>
      </c>
      <c r="W41" s="59">
        <f t="shared" si="4"/>
        <v>2787919.8</v>
      </c>
      <c r="X41" s="60">
        <f t="shared" si="5"/>
        <v>118.84539737043609</v>
      </c>
      <c r="Y41" s="65">
        <v>40</v>
      </c>
      <c r="Z41" s="65" t="str">
        <f>_xlfn.IFERROR(INDEX('Tabela PW'!$C:$F,'Słownik PW'!C41,1),"")</f>
        <v/>
      </c>
      <c r="AA41" s="65" t="str">
        <f>_xlfn.IFERROR(INDEX('Tabela PW'!$C:$F,'Słownik PW'!C41,4),"")</f>
        <v/>
      </c>
      <c r="AB41" s="65" t="str">
        <f t="shared" si="10"/>
        <v/>
      </c>
      <c r="AC41" s="65" t="str">
        <f>_xlfn.IFERROR(INDEX('Tabela PW'!$K:$K,'Słownik PW'!C41,1),"")</f>
        <v/>
      </c>
      <c r="AD41" s="65" t="str">
        <f>_xlfn.IFERROR(INDEX('Tabela PW'!$L:$L,'Słownik PW'!C41,1),"")</f>
        <v/>
      </c>
      <c r="AE41" s="65" t="str">
        <f>_xlfn.IFERROR(INDEX('Tabela PW'!$M:$M,'Słownik PW'!C41,1),"")</f>
        <v/>
      </c>
      <c r="AF41" s="65" t="str">
        <f>_xlfn.IFERROR(INDEX('Tabela PW'!$N:$N,'Słownik PW'!C41,1),"")</f>
        <v/>
      </c>
      <c r="AG41" s="65" t="str">
        <f>_xlfn.IFERROR(INDEX('Tabela PW'!$O:$O,'Słownik PW'!C41,1),"")</f>
        <v/>
      </c>
      <c r="AH41" s="65" t="str">
        <f>_xlfn.IFERROR(INDEX('Tabela PW'!$P:$P,'Słownik PW'!C41,1),"")</f>
        <v/>
      </c>
      <c r="AI41" s="65" t="str">
        <f>_xlfn.IFERROR(INDEX('Tabela PW'!$Q:$Q,'Słownik PW'!C41,1),"")</f>
        <v/>
      </c>
      <c r="AJ41" s="65" t="str">
        <f>_xlfn.IFERROR(INDEX('Tabela PW'!$R:$R,'Słownik PW'!C41,1),"")</f>
        <v/>
      </c>
      <c r="AK41" s="65" t="str">
        <f>_xlfn.IFERROR(INDEX('Tabela PW'!$S:$S,'Słownik PW'!C41,1),"")</f>
        <v/>
      </c>
      <c r="AL41" s="65" t="str">
        <f>_xlfn.IFERROR(INDEX('Tabela PW'!$T:$T,'Słownik PW'!C41,1),"")</f>
        <v/>
      </c>
      <c r="AM41" s="65" t="str">
        <f>_xlfn.IFERROR(INDEX('Tabela PW'!$U:$X,'Słownik PW'!C41,1),"")</f>
        <v/>
      </c>
      <c r="AN41" s="65" t="str">
        <f>_xlfn.IFERROR(INDEX('Tabela PW'!$U:$X,'Słownik PW'!C41,2),"")</f>
        <v/>
      </c>
      <c r="AO41" s="66" t="str">
        <f>_xlfn.IFERROR(INDEX('Tabela PW'!$U:$X,'Słownik PW'!C41,3),"")</f>
        <v/>
      </c>
      <c r="AP41" s="67" t="str">
        <f>_xlfn.IFERROR(INDEX('Tabela PW'!$U:$X,'Słownik PW'!C41,4),"")</f>
        <v/>
      </c>
      <c r="AQ41" s="66" t="str">
        <f>_xlfn.IFERROR(INDEX('Tabela PW'!$U:$X,'Słownik PW'!C41,5),"")</f>
        <v/>
      </c>
      <c r="AR41" s="67" t="str">
        <f>_xlfn.IFERROR(INDEX('Tabela PW'!$U:$X,'Słownik PW'!C41,6),"")</f>
        <v/>
      </c>
      <c r="AS41" s="67" t="str">
        <f>_xlfn.IFERROR(INDEX('Tabela PW'!$U:$X,'Słownik PW'!C41,7),"")</f>
        <v/>
      </c>
      <c r="AT41" s="65"/>
      <c r="AU41" s="65"/>
      <c r="AV41" s="65"/>
      <c r="AW41" s="65"/>
      <c r="AX41" s="65"/>
      <c r="AY41" s="65"/>
      <c r="AZ41" s="65"/>
      <c r="BA41" s="65"/>
      <c r="BB41" s="65"/>
      <c r="BC41" s="65"/>
      <c r="BD41" s="65"/>
      <c r="BE41" s="65"/>
      <c r="BF41" s="65"/>
      <c r="BG41" s="65"/>
      <c r="BH41" s="68"/>
      <c r="BI41" s="65"/>
    </row>
    <row r="42" spans="1:61" ht="15">
      <c r="A42" s="4" t="s">
        <v>40</v>
      </c>
      <c r="B42" s="5" t="s">
        <v>670</v>
      </c>
      <c r="C42" s="49" t="s">
        <v>66</v>
      </c>
      <c r="D42" s="349">
        <f t="shared" si="0"/>
        <v>39</v>
      </c>
      <c r="E42" s="350" t="s">
        <v>747</v>
      </c>
      <c r="F42" s="51" t="s">
        <v>25</v>
      </c>
      <c r="G42" s="351" t="s">
        <v>683</v>
      </c>
      <c r="H42" s="351" t="s">
        <v>1460</v>
      </c>
      <c r="I42" s="351" t="s">
        <v>1461</v>
      </c>
      <c r="J42" s="351" t="s">
        <v>3740</v>
      </c>
      <c r="K42" s="354">
        <v>5603</v>
      </c>
      <c r="L42" s="355">
        <v>6099</v>
      </c>
      <c r="M42" s="354">
        <v>5367</v>
      </c>
      <c r="N42" s="355">
        <v>5769</v>
      </c>
      <c r="O42" s="355">
        <v>11340</v>
      </c>
      <c r="P42" s="355">
        <v>14692</v>
      </c>
      <c r="Q42" s="355">
        <v>7572</v>
      </c>
      <c r="R42" s="355">
        <v>7956</v>
      </c>
      <c r="S42" s="355">
        <v>8771</v>
      </c>
      <c r="T42" s="355">
        <v>14365</v>
      </c>
      <c r="U42" s="59">
        <f t="shared" si="2"/>
        <v>5367</v>
      </c>
      <c r="V42" s="59">
        <f t="shared" si="3"/>
        <v>14692</v>
      </c>
      <c r="W42" s="59">
        <f t="shared" si="4"/>
        <v>8753.4</v>
      </c>
      <c r="X42" s="60">
        <f t="shared" si="5"/>
        <v>256.3805104408352</v>
      </c>
      <c r="Y42" s="65">
        <v>41</v>
      </c>
      <c r="Z42" s="65" t="str">
        <f>_xlfn.IFERROR(INDEX('Tabela PW'!$C:$F,'Słownik PW'!C42,1),"")</f>
        <v/>
      </c>
      <c r="AA42" s="65" t="str">
        <f>_xlfn.IFERROR(INDEX('Tabela PW'!$C:$F,'Słownik PW'!C42,4),"")</f>
        <v/>
      </c>
      <c r="AB42" s="65" t="str">
        <f t="shared" si="10"/>
        <v/>
      </c>
      <c r="AC42" s="65" t="str">
        <f>_xlfn.IFERROR(INDEX('Tabela PW'!$K:$K,'Słownik PW'!C42,1),"")</f>
        <v/>
      </c>
      <c r="AD42" s="65" t="str">
        <f>_xlfn.IFERROR(INDEX('Tabela PW'!$L:$L,'Słownik PW'!C42,1),"")</f>
        <v/>
      </c>
      <c r="AE42" s="65" t="str">
        <f>_xlfn.IFERROR(INDEX('Tabela PW'!$M:$M,'Słownik PW'!C42,1),"")</f>
        <v/>
      </c>
      <c r="AF42" s="65" t="str">
        <f>_xlfn.IFERROR(INDEX('Tabela PW'!$N:$N,'Słownik PW'!C42,1),"")</f>
        <v/>
      </c>
      <c r="AG42" s="65" t="str">
        <f>_xlfn.IFERROR(INDEX('Tabela PW'!$O:$O,'Słownik PW'!C42,1),"")</f>
        <v/>
      </c>
      <c r="AH42" s="65" t="str">
        <f>_xlfn.IFERROR(INDEX('Tabela PW'!$P:$P,'Słownik PW'!C42,1),"")</f>
        <v/>
      </c>
      <c r="AI42" s="65" t="str">
        <f>_xlfn.IFERROR(INDEX('Tabela PW'!$Q:$Q,'Słownik PW'!C42,1),"")</f>
        <v/>
      </c>
      <c r="AJ42" s="65" t="str">
        <f>_xlfn.IFERROR(INDEX('Tabela PW'!$R:$R,'Słownik PW'!C42,1),"")</f>
        <v/>
      </c>
      <c r="AK42" s="65" t="str">
        <f>_xlfn.IFERROR(INDEX('Tabela PW'!$S:$S,'Słownik PW'!C42,1),"")</f>
        <v/>
      </c>
      <c r="AL42" s="65" t="str">
        <f>_xlfn.IFERROR(INDEX('Tabela PW'!$T:$T,'Słownik PW'!C42,1),"")</f>
        <v/>
      </c>
      <c r="AM42" s="65" t="str">
        <f>_xlfn.IFERROR(INDEX('Tabela PW'!$U:$X,'Słownik PW'!C42,1),"")</f>
        <v/>
      </c>
      <c r="AN42" s="65" t="str">
        <f>_xlfn.IFERROR(INDEX('Tabela PW'!$U:$X,'Słownik PW'!C42,2),"")</f>
        <v/>
      </c>
      <c r="AO42" s="66" t="str">
        <f>_xlfn.IFERROR(INDEX('Tabela PW'!$U:$X,'Słownik PW'!C42,3),"")</f>
        <v/>
      </c>
      <c r="AP42" s="67" t="str">
        <f>_xlfn.IFERROR(INDEX('Tabela PW'!$U:$X,'Słownik PW'!C42,4),"")</f>
        <v/>
      </c>
      <c r="AQ42" s="66" t="str">
        <f>_xlfn.IFERROR(INDEX('Tabela PW'!$U:$X,'Słownik PW'!C42,5),"")</f>
        <v/>
      </c>
      <c r="AR42" s="67" t="str">
        <f>_xlfn.IFERROR(INDEX('Tabela PW'!$U:$X,'Słownik PW'!C42,6),"")</f>
        <v/>
      </c>
      <c r="AS42" s="67" t="str">
        <f>_xlfn.IFERROR(INDEX('Tabela PW'!$U:$X,'Słownik PW'!C42,7),"")</f>
        <v/>
      </c>
      <c r="AT42" s="65"/>
      <c r="AU42" s="65"/>
      <c r="AV42" s="65"/>
      <c r="AW42" s="65"/>
      <c r="AX42" s="65"/>
      <c r="AY42" s="65"/>
      <c r="AZ42" s="65"/>
      <c r="BA42" s="65"/>
      <c r="BB42" s="65"/>
      <c r="BC42" s="65"/>
      <c r="BD42" s="65"/>
      <c r="BE42" s="65"/>
      <c r="BF42" s="65"/>
      <c r="BG42" s="65"/>
      <c r="BH42" s="68"/>
      <c r="BI42" s="65"/>
    </row>
    <row r="43" spans="1:61" ht="15">
      <c r="A43" s="4" t="s">
        <v>67</v>
      </c>
      <c r="B43" s="5" t="s">
        <v>671</v>
      </c>
      <c r="C43" s="49" t="s">
        <v>68</v>
      </c>
      <c r="D43" s="349">
        <f t="shared" si="0"/>
        <v>90</v>
      </c>
      <c r="E43" s="350" t="s">
        <v>748</v>
      </c>
      <c r="F43" s="51" t="s">
        <v>25</v>
      </c>
      <c r="G43" s="351" t="s">
        <v>683</v>
      </c>
      <c r="H43" s="351" t="s">
        <v>1462</v>
      </c>
      <c r="I43" s="351" t="s">
        <v>1463</v>
      </c>
      <c r="J43" s="351" t="s">
        <v>3741</v>
      </c>
      <c r="K43" s="354">
        <v>218658</v>
      </c>
      <c r="L43" s="355">
        <v>233848</v>
      </c>
      <c r="M43" s="354">
        <v>230917</v>
      </c>
      <c r="N43" s="355">
        <v>214447</v>
      </c>
      <c r="O43" s="355">
        <v>203480</v>
      </c>
      <c r="P43" s="355">
        <v>214727</v>
      </c>
      <c r="Q43" s="355">
        <v>204141</v>
      </c>
      <c r="R43" s="355">
        <v>223933</v>
      </c>
      <c r="S43" s="355">
        <v>216140</v>
      </c>
      <c r="T43" s="355">
        <v>210849</v>
      </c>
      <c r="U43" s="59">
        <f t="shared" si="2"/>
        <v>203480</v>
      </c>
      <c r="V43" s="59">
        <f t="shared" si="3"/>
        <v>233848</v>
      </c>
      <c r="W43" s="59">
        <f t="shared" si="4"/>
        <v>217114</v>
      </c>
      <c r="X43" s="60">
        <f t="shared" si="5"/>
        <v>96.42866942897128</v>
      </c>
      <c r="Y43" s="65">
        <v>42</v>
      </c>
      <c r="Z43" s="65" t="str">
        <f>_xlfn.IFERROR(INDEX('Tabela PW'!$C:$F,'Słownik PW'!C43,1),"")</f>
        <v/>
      </c>
      <c r="AA43" s="65" t="str">
        <f>_xlfn.IFERROR(INDEX('Tabela PW'!$C:$F,'Słownik PW'!C43,4),"")</f>
        <v/>
      </c>
      <c r="AB43" s="65" t="str">
        <f t="shared" si="10"/>
        <v/>
      </c>
      <c r="AC43" s="65" t="str">
        <f>_xlfn.IFERROR(INDEX('Tabela PW'!$K:$K,'Słownik PW'!C43,1),"")</f>
        <v/>
      </c>
      <c r="AD43" s="65" t="str">
        <f>_xlfn.IFERROR(INDEX('Tabela PW'!$L:$L,'Słownik PW'!C43,1),"")</f>
        <v/>
      </c>
      <c r="AE43" s="65" t="str">
        <f>_xlfn.IFERROR(INDEX('Tabela PW'!$M:$M,'Słownik PW'!C43,1),"")</f>
        <v/>
      </c>
      <c r="AF43" s="65" t="str">
        <f>_xlfn.IFERROR(INDEX('Tabela PW'!$N:$N,'Słownik PW'!C43,1),"")</f>
        <v/>
      </c>
      <c r="AG43" s="65" t="str">
        <f>_xlfn.IFERROR(INDEX('Tabela PW'!$O:$O,'Słownik PW'!C43,1),"")</f>
        <v/>
      </c>
      <c r="AH43" s="65" t="str">
        <f>_xlfn.IFERROR(INDEX('Tabela PW'!$P:$P,'Słownik PW'!C43,1),"")</f>
        <v/>
      </c>
      <c r="AI43" s="65" t="str">
        <f>_xlfn.IFERROR(INDEX('Tabela PW'!$Q:$Q,'Słownik PW'!C43,1),"")</f>
        <v/>
      </c>
      <c r="AJ43" s="65" t="str">
        <f>_xlfn.IFERROR(INDEX('Tabela PW'!$R:$R,'Słownik PW'!C43,1),"")</f>
        <v/>
      </c>
      <c r="AK43" s="65" t="str">
        <f>_xlfn.IFERROR(INDEX('Tabela PW'!$S:$S,'Słownik PW'!C43,1),"")</f>
        <v/>
      </c>
      <c r="AL43" s="65" t="str">
        <f>_xlfn.IFERROR(INDEX('Tabela PW'!$T:$T,'Słownik PW'!C43,1),"")</f>
        <v/>
      </c>
      <c r="AM43" s="65" t="str">
        <f>_xlfn.IFERROR(INDEX('Tabela PW'!$U:$X,'Słownik PW'!C43,1),"")</f>
        <v/>
      </c>
      <c r="AN43" s="65" t="str">
        <f>_xlfn.IFERROR(INDEX('Tabela PW'!$U:$X,'Słownik PW'!C43,2),"")</f>
        <v/>
      </c>
      <c r="AO43" s="66" t="str">
        <f>_xlfn.IFERROR(INDEX('Tabela PW'!$U:$X,'Słownik PW'!C43,3),"")</f>
        <v/>
      </c>
      <c r="AP43" s="67" t="str">
        <f>_xlfn.IFERROR(INDEX('Tabela PW'!$U:$X,'Słownik PW'!C43,4),"")</f>
        <v/>
      </c>
      <c r="AQ43" s="66" t="str">
        <f>_xlfn.IFERROR(INDEX('Tabela PW'!$U:$X,'Słownik PW'!C43,5),"")</f>
        <v/>
      </c>
      <c r="AR43" s="67" t="str">
        <f>_xlfn.IFERROR(INDEX('Tabela PW'!$U:$X,'Słownik PW'!C43,6),"")</f>
        <v/>
      </c>
      <c r="AS43" s="67" t="str">
        <f>_xlfn.IFERROR(INDEX('Tabela PW'!$U:$X,'Słownik PW'!C43,7),"")</f>
        <v/>
      </c>
      <c r="AT43" s="65"/>
      <c r="AU43" s="65"/>
      <c r="AV43" s="65"/>
      <c r="AW43" s="65"/>
      <c r="AX43" s="65"/>
      <c r="AY43" s="65"/>
      <c r="AZ43" s="65"/>
      <c r="BA43" s="65"/>
      <c r="BB43" s="65"/>
      <c r="BC43" s="65"/>
      <c r="BD43" s="65"/>
      <c r="BE43" s="65"/>
      <c r="BF43" s="65"/>
      <c r="BG43" s="65"/>
      <c r="BH43" s="68"/>
      <c r="BI43" s="65"/>
    </row>
    <row r="44" spans="1:61" ht="15">
      <c r="A44" s="4" t="s">
        <v>67</v>
      </c>
      <c r="B44" s="5" t="s">
        <v>671</v>
      </c>
      <c r="C44" s="49" t="s">
        <v>69</v>
      </c>
      <c r="D44" s="349">
        <f t="shared" si="0"/>
        <v>91</v>
      </c>
      <c r="E44" s="350" t="s">
        <v>749</v>
      </c>
      <c r="F44" s="51" t="s">
        <v>25</v>
      </c>
      <c r="G44" s="351" t="s">
        <v>683</v>
      </c>
      <c r="H44" s="351" t="s">
        <v>1464</v>
      </c>
      <c r="I44" s="351" t="s">
        <v>1465</v>
      </c>
      <c r="J44" s="351" t="s">
        <v>3742</v>
      </c>
      <c r="K44" s="354">
        <v>928814</v>
      </c>
      <c r="L44" s="355">
        <v>913283</v>
      </c>
      <c r="M44" s="354">
        <v>1103141</v>
      </c>
      <c r="N44" s="355">
        <v>1185809</v>
      </c>
      <c r="O44" s="355">
        <v>1216168</v>
      </c>
      <c r="P44" s="355">
        <v>1221646</v>
      </c>
      <c r="Q44" s="355">
        <v>1281805</v>
      </c>
      <c r="R44" s="355">
        <v>1321194</v>
      </c>
      <c r="S44" s="355">
        <v>1412787</v>
      </c>
      <c r="T44" s="355">
        <v>1327596</v>
      </c>
      <c r="U44" s="59">
        <f t="shared" si="2"/>
        <v>913283</v>
      </c>
      <c r="V44" s="59">
        <f t="shared" si="3"/>
        <v>1412787</v>
      </c>
      <c r="W44" s="59">
        <f t="shared" si="4"/>
        <v>1191224.3</v>
      </c>
      <c r="X44" s="60">
        <f t="shared" si="5"/>
        <v>142.93453802375933</v>
      </c>
      <c r="Y44" s="65">
        <v>43</v>
      </c>
      <c r="Z44" s="65" t="str">
        <f>_xlfn.IFERROR(INDEX('Tabela PW'!$C:$F,'Słownik PW'!C44,1),"")</f>
        <v/>
      </c>
      <c r="AA44" s="65" t="str">
        <f>_xlfn.IFERROR(INDEX('Tabela PW'!$C:$F,'Słownik PW'!C44,4),"")</f>
        <v/>
      </c>
      <c r="AB44" s="65" t="str">
        <f t="shared" si="10"/>
        <v/>
      </c>
      <c r="AC44" s="65" t="str">
        <f>_xlfn.IFERROR(INDEX('Tabela PW'!$K:$K,'Słownik PW'!C44,1),"")</f>
        <v/>
      </c>
      <c r="AD44" s="65" t="str">
        <f>_xlfn.IFERROR(INDEX('Tabela PW'!$L:$L,'Słownik PW'!C44,1),"")</f>
        <v/>
      </c>
      <c r="AE44" s="65" t="str">
        <f>_xlfn.IFERROR(INDEX('Tabela PW'!$M:$M,'Słownik PW'!C44,1),"")</f>
        <v/>
      </c>
      <c r="AF44" s="65" t="str">
        <f>_xlfn.IFERROR(INDEX('Tabela PW'!$N:$N,'Słownik PW'!C44,1),"")</f>
        <v/>
      </c>
      <c r="AG44" s="65" t="str">
        <f>_xlfn.IFERROR(INDEX('Tabela PW'!$O:$O,'Słownik PW'!C44,1),"")</f>
        <v/>
      </c>
      <c r="AH44" s="65" t="str">
        <f>_xlfn.IFERROR(INDEX('Tabela PW'!$P:$P,'Słownik PW'!C44,1),"")</f>
        <v/>
      </c>
      <c r="AI44" s="65" t="str">
        <f>_xlfn.IFERROR(INDEX('Tabela PW'!$Q:$Q,'Słownik PW'!C44,1),"")</f>
        <v/>
      </c>
      <c r="AJ44" s="65" t="str">
        <f>_xlfn.IFERROR(INDEX('Tabela PW'!$R:$R,'Słownik PW'!C44,1),"")</f>
        <v/>
      </c>
      <c r="AK44" s="65" t="str">
        <f>_xlfn.IFERROR(INDEX('Tabela PW'!$S:$S,'Słownik PW'!C44,1),"")</f>
        <v/>
      </c>
      <c r="AL44" s="65" t="str">
        <f>_xlfn.IFERROR(INDEX('Tabela PW'!$T:$T,'Słownik PW'!C44,1),"")</f>
        <v/>
      </c>
      <c r="AM44" s="65" t="str">
        <f>_xlfn.IFERROR(INDEX('Tabela PW'!$U:$X,'Słownik PW'!C44,1),"")</f>
        <v/>
      </c>
      <c r="AN44" s="65" t="str">
        <f>_xlfn.IFERROR(INDEX('Tabela PW'!$U:$X,'Słownik PW'!C44,2),"")</f>
        <v/>
      </c>
      <c r="AO44" s="66" t="str">
        <f>_xlfn.IFERROR(INDEX('Tabela PW'!$U:$X,'Słownik PW'!C44,3),"")</f>
        <v/>
      </c>
      <c r="AP44" s="67" t="str">
        <f>_xlfn.IFERROR(INDEX('Tabela PW'!$U:$X,'Słownik PW'!C44,4),"")</f>
        <v/>
      </c>
      <c r="AQ44" s="66" t="str">
        <f>_xlfn.IFERROR(INDEX('Tabela PW'!$U:$X,'Słownik PW'!C44,5),"")</f>
        <v/>
      </c>
      <c r="AR44" s="67" t="str">
        <f>_xlfn.IFERROR(INDEX('Tabela PW'!$U:$X,'Słownik PW'!C44,6),"")</f>
        <v/>
      </c>
      <c r="AS44" s="67" t="str">
        <f>_xlfn.IFERROR(INDEX('Tabela PW'!$U:$X,'Słownik PW'!C44,7),"")</f>
        <v/>
      </c>
      <c r="AT44" s="65"/>
      <c r="AU44" s="65"/>
      <c r="AV44" s="65"/>
      <c r="AW44" s="65"/>
      <c r="AX44" s="65"/>
      <c r="AY44" s="65"/>
      <c r="AZ44" s="65"/>
      <c r="BA44" s="65"/>
      <c r="BB44" s="65"/>
      <c r="BC44" s="65"/>
      <c r="BD44" s="65"/>
      <c r="BE44" s="65"/>
      <c r="BF44" s="65"/>
      <c r="BG44" s="65"/>
      <c r="BH44" s="68"/>
      <c r="BI44" s="65"/>
    </row>
    <row r="45" spans="1:61" ht="15">
      <c r="A45" s="4" t="s">
        <v>67</v>
      </c>
      <c r="B45" s="5" t="s">
        <v>671</v>
      </c>
      <c r="C45" s="49" t="s">
        <v>0</v>
      </c>
      <c r="D45" s="349">
        <f t="shared" si="0"/>
        <v>34</v>
      </c>
      <c r="E45" s="350" t="s">
        <v>750</v>
      </c>
      <c r="F45" s="51" t="s">
        <v>25</v>
      </c>
      <c r="G45" s="351" t="s">
        <v>683</v>
      </c>
      <c r="H45" s="351" t="s">
        <v>1466</v>
      </c>
      <c r="I45" s="351" t="s">
        <v>1467</v>
      </c>
      <c r="J45" s="351" t="s">
        <v>3743</v>
      </c>
      <c r="K45" s="354">
        <v>89479</v>
      </c>
      <c r="L45" s="355">
        <v>102656</v>
      </c>
      <c r="M45" s="354">
        <v>92419</v>
      </c>
      <c r="N45" s="355">
        <v>89935</v>
      </c>
      <c r="O45" s="355">
        <v>95147</v>
      </c>
      <c r="P45" s="355">
        <v>112166</v>
      </c>
      <c r="Q45" s="355">
        <v>121228</v>
      </c>
      <c r="R45" s="355">
        <v>123052</v>
      </c>
      <c r="S45" s="355">
        <v>129769</v>
      </c>
      <c r="T45" s="355">
        <v>127889</v>
      </c>
      <c r="U45" s="59">
        <f t="shared" si="2"/>
        <v>89479</v>
      </c>
      <c r="V45" s="59">
        <f t="shared" si="3"/>
        <v>129769</v>
      </c>
      <c r="W45" s="59">
        <f t="shared" si="4"/>
        <v>108374</v>
      </c>
      <c r="X45" s="60">
        <f t="shared" si="5"/>
        <v>142.92627320376846</v>
      </c>
      <c r="Y45" s="65">
        <v>44</v>
      </c>
      <c r="Z45" s="65" t="str">
        <f>_xlfn.IFERROR(INDEX('Tabela PW'!$C:$F,'Słownik PW'!C45,1),"")</f>
        <v/>
      </c>
      <c r="AA45" s="65" t="str">
        <f>_xlfn.IFERROR(INDEX('Tabela PW'!$C:$F,'Słownik PW'!C45,4),"")</f>
        <v/>
      </c>
      <c r="AB45" s="65" t="str">
        <f t="shared" si="10"/>
        <v/>
      </c>
      <c r="AC45" s="65" t="str">
        <f>_xlfn.IFERROR(INDEX('Tabela PW'!$K:$K,'Słownik PW'!C45,1),"")</f>
        <v/>
      </c>
      <c r="AD45" s="65" t="str">
        <f>_xlfn.IFERROR(INDEX('Tabela PW'!$L:$L,'Słownik PW'!C45,1),"")</f>
        <v/>
      </c>
      <c r="AE45" s="65" t="str">
        <f>_xlfn.IFERROR(INDEX('Tabela PW'!$M:$M,'Słownik PW'!C45,1),"")</f>
        <v/>
      </c>
      <c r="AF45" s="65" t="str">
        <f>_xlfn.IFERROR(INDEX('Tabela PW'!$N:$N,'Słownik PW'!C45,1),"")</f>
        <v/>
      </c>
      <c r="AG45" s="65" t="str">
        <f>_xlfn.IFERROR(INDEX('Tabela PW'!$O:$O,'Słownik PW'!C45,1),"")</f>
        <v/>
      </c>
      <c r="AH45" s="65" t="str">
        <f>_xlfn.IFERROR(INDEX('Tabela PW'!$P:$P,'Słownik PW'!C45,1),"")</f>
        <v/>
      </c>
      <c r="AI45" s="65" t="str">
        <f>_xlfn.IFERROR(INDEX('Tabela PW'!$Q:$Q,'Słownik PW'!C45,1),"")</f>
        <v/>
      </c>
      <c r="AJ45" s="65" t="str">
        <f>_xlfn.IFERROR(INDEX('Tabela PW'!$R:$R,'Słownik PW'!C45,1),"")</f>
        <v/>
      </c>
      <c r="AK45" s="65" t="str">
        <f>_xlfn.IFERROR(INDEX('Tabela PW'!$S:$S,'Słownik PW'!C45,1),"")</f>
        <v/>
      </c>
      <c r="AL45" s="65" t="str">
        <f>_xlfn.IFERROR(INDEX('Tabela PW'!$T:$T,'Słownik PW'!C45,1),"")</f>
        <v/>
      </c>
      <c r="AM45" s="65" t="str">
        <f>_xlfn.IFERROR(INDEX('Tabela PW'!$U:$X,'Słownik PW'!C45,1),"")</f>
        <v/>
      </c>
      <c r="AN45" s="65" t="str">
        <f>_xlfn.IFERROR(INDEX('Tabela PW'!$U:$X,'Słownik PW'!C45,2),"")</f>
        <v/>
      </c>
      <c r="AO45" s="66" t="str">
        <f>_xlfn.IFERROR(INDEX('Tabela PW'!$U:$X,'Słownik PW'!C45,3),"")</f>
        <v/>
      </c>
      <c r="AP45" s="67" t="str">
        <f>_xlfn.IFERROR(INDEX('Tabela PW'!$U:$X,'Słownik PW'!C45,4),"")</f>
        <v/>
      </c>
      <c r="AQ45" s="66" t="str">
        <f>_xlfn.IFERROR(INDEX('Tabela PW'!$U:$X,'Słownik PW'!C45,5),"")</f>
        <v/>
      </c>
      <c r="AR45" s="67" t="str">
        <f>_xlfn.IFERROR(INDEX('Tabela PW'!$U:$X,'Słownik PW'!C45,6),"")</f>
        <v/>
      </c>
      <c r="AS45" s="67" t="str">
        <f>_xlfn.IFERROR(INDEX('Tabela PW'!$U:$X,'Słownik PW'!C45,7),"")</f>
        <v/>
      </c>
      <c r="AT45" s="65"/>
      <c r="AU45" s="65"/>
      <c r="AV45" s="65"/>
      <c r="AW45" s="65"/>
      <c r="AX45" s="65"/>
      <c r="AY45" s="65"/>
      <c r="AZ45" s="65"/>
      <c r="BA45" s="65"/>
      <c r="BB45" s="65"/>
      <c r="BC45" s="65"/>
      <c r="BD45" s="65"/>
      <c r="BE45" s="65"/>
      <c r="BF45" s="65"/>
      <c r="BG45" s="65"/>
      <c r="BH45" s="68"/>
      <c r="BI45" s="65"/>
    </row>
    <row r="46" spans="1:61" ht="15">
      <c r="A46" s="4" t="s">
        <v>67</v>
      </c>
      <c r="B46" s="5" t="s">
        <v>671</v>
      </c>
      <c r="C46" s="49" t="s">
        <v>1</v>
      </c>
      <c r="D46" s="349">
        <f t="shared" si="0"/>
        <v>14</v>
      </c>
      <c r="E46" s="350" t="s">
        <v>751</v>
      </c>
      <c r="F46" s="51" t="s">
        <v>25</v>
      </c>
      <c r="G46" s="351" t="s">
        <v>683</v>
      </c>
      <c r="H46" s="351" t="s">
        <v>1468</v>
      </c>
      <c r="I46" s="351" t="s">
        <v>1469</v>
      </c>
      <c r="J46" s="351" t="s">
        <v>3744</v>
      </c>
      <c r="K46" s="354">
        <v>1585553</v>
      </c>
      <c r="L46" s="355">
        <v>1705703</v>
      </c>
      <c r="M46" s="354">
        <v>1930701</v>
      </c>
      <c r="N46" s="355">
        <v>2042321</v>
      </c>
      <c r="O46" s="355">
        <v>2198653</v>
      </c>
      <c r="P46" s="355">
        <v>2382655</v>
      </c>
      <c r="Q46" s="355">
        <v>2797224</v>
      </c>
      <c r="R46" s="355">
        <v>3037574</v>
      </c>
      <c r="S46" s="355">
        <v>3055734</v>
      </c>
      <c r="T46" s="355">
        <v>3079402</v>
      </c>
      <c r="U46" s="59">
        <f t="shared" si="2"/>
        <v>1585553</v>
      </c>
      <c r="V46" s="59">
        <f t="shared" si="3"/>
        <v>3079402</v>
      </c>
      <c r="W46" s="59">
        <f t="shared" si="4"/>
        <v>2381552</v>
      </c>
      <c r="X46" s="60">
        <f t="shared" si="5"/>
        <v>194.216276592457</v>
      </c>
      <c r="Y46" s="65">
        <v>45</v>
      </c>
      <c r="Z46" s="65" t="str">
        <f>_xlfn.IFERROR(INDEX('Tabela PW'!$C:$F,'Słownik PW'!C46,1),"")</f>
        <v/>
      </c>
      <c r="AA46" s="65" t="str">
        <f>_xlfn.IFERROR(INDEX('Tabela PW'!$C:$F,'Słownik PW'!C46,4),"")</f>
        <v/>
      </c>
      <c r="AB46" s="65" t="str">
        <f t="shared" si="10"/>
        <v/>
      </c>
      <c r="AC46" s="65" t="str">
        <f>_xlfn.IFERROR(INDEX('Tabela PW'!$K:$K,'Słownik PW'!C46,1),"")</f>
        <v/>
      </c>
      <c r="AD46" s="65" t="str">
        <f>_xlfn.IFERROR(INDEX('Tabela PW'!$L:$L,'Słownik PW'!C46,1),"")</f>
        <v/>
      </c>
      <c r="AE46" s="65" t="str">
        <f>_xlfn.IFERROR(INDEX('Tabela PW'!$M:$M,'Słownik PW'!C46,1),"")</f>
        <v/>
      </c>
      <c r="AF46" s="65" t="str">
        <f>_xlfn.IFERROR(INDEX('Tabela PW'!$N:$N,'Słownik PW'!C46,1),"")</f>
        <v/>
      </c>
      <c r="AG46" s="65" t="str">
        <f>_xlfn.IFERROR(INDEX('Tabela PW'!$O:$O,'Słownik PW'!C46,1),"")</f>
        <v/>
      </c>
      <c r="AH46" s="65" t="str">
        <f>_xlfn.IFERROR(INDEX('Tabela PW'!$P:$P,'Słownik PW'!C46,1),"")</f>
        <v/>
      </c>
      <c r="AI46" s="65" t="str">
        <f>_xlfn.IFERROR(INDEX('Tabela PW'!$Q:$Q,'Słownik PW'!C46,1),"")</f>
        <v/>
      </c>
      <c r="AJ46" s="65" t="str">
        <f>_xlfn.IFERROR(INDEX('Tabela PW'!$R:$R,'Słownik PW'!C46,1),"")</f>
        <v/>
      </c>
      <c r="AK46" s="65" t="str">
        <f>_xlfn.IFERROR(INDEX('Tabela PW'!$S:$S,'Słownik PW'!C46,1),"")</f>
        <v/>
      </c>
      <c r="AL46" s="65" t="str">
        <f>_xlfn.IFERROR(INDEX('Tabela PW'!$T:$T,'Słownik PW'!C46,1),"")</f>
        <v/>
      </c>
      <c r="AM46" s="65" t="str">
        <f>_xlfn.IFERROR(INDEX('Tabela PW'!$U:$X,'Słownik PW'!C46,1),"")</f>
        <v/>
      </c>
      <c r="AN46" s="65" t="str">
        <f>_xlfn.IFERROR(INDEX('Tabela PW'!$U:$X,'Słownik PW'!C46,2),"")</f>
        <v/>
      </c>
      <c r="AO46" s="66" t="str">
        <f>_xlfn.IFERROR(INDEX('Tabela PW'!$U:$X,'Słownik PW'!C46,3),"")</f>
        <v/>
      </c>
      <c r="AP46" s="67" t="str">
        <f>_xlfn.IFERROR(INDEX('Tabela PW'!$U:$X,'Słownik PW'!C46,4),"")</f>
        <v/>
      </c>
      <c r="AQ46" s="66" t="str">
        <f>_xlfn.IFERROR(INDEX('Tabela PW'!$U:$X,'Słownik PW'!C46,5),"")</f>
        <v/>
      </c>
      <c r="AR46" s="67" t="str">
        <f>_xlfn.IFERROR(INDEX('Tabela PW'!$U:$X,'Słownik PW'!C46,6),"")</f>
        <v/>
      </c>
      <c r="AS46" s="67" t="str">
        <f>_xlfn.IFERROR(INDEX('Tabela PW'!$U:$X,'Słownik PW'!C46,7),"")</f>
        <v/>
      </c>
      <c r="AT46" s="65"/>
      <c r="AU46" s="65"/>
      <c r="AV46" s="65"/>
      <c r="AW46" s="65"/>
      <c r="AX46" s="65"/>
      <c r="AY46" s="65"/>
      <c r="AZ46" s="65"/>
      <c r="BA46" s="65"/>
      <c r="BB46" s="65"/>
      <c r="BC46" s="65"/>
      <c r="BD46" s="65"/>
      <c r="BE46" s="65"/>
      <c r="BF46" s="65"/>
      <c r="BG46" s="65"/>
      <c r="BH46" s="68"/>
      <c r="BI46" s="65"/>
    </row>
    <row r="47" spans="1:61" ht="15">
      <c r="A47" s="4" t="s">
        <v>67</v>
      </c>
      <c r="B47" s="5" t="s">
        <v>671</v>
      </c>
      <c r="C47" s="49" t="s">
        <v>70</v>
      </c>
      <c r="D47" s="349">
        <f t="shared" si="0"/>
        <v>33</v>
      </c>
      <c r="E47" s="350" t="s">
        <v>752</v>
      </c>
      <c r="F47" s="51" t="s">
        <v>25</v>
      </c>
      <c r="G47" s="351" t="s">
        <v>683</v>
      </c>
      <c r="H47" s="351" t="s">
        <v>1470</v>
      </c>
      <c r="I47" s="351" t="s">
        <v>1471</v>
      </c>
      <c r="J47" s="351" t="s">
        <v>3745</v>
      </c>
      <c r="K47" s="354">
        <v>729371</v>
      </c>
      <c r="L47" s="355">
        <v>779852</v>
      </c>
      <c r="M47" s="354">
        <v>764100</v>
      </c>
      <c r="N47" s="355">
        <v>767343</v>
      </c>
      <c r="O47" s="355">
        <v>775271</v>
      </c>
      <c r="P47" s="355">
        <v>774796</v>
      </c>
      <c r="Q47" s="355">
        <v>849474</v>
      </c>
      <c r="R47" s="355">
        <v>841858</v>
      </c>
      <c r="S47" s="355">
        <v>817489</v>
      </c>
      <c r="T47" s="355">
        <v>788316</v>
      </c>
      <c r="U47" s="59">
        <f t="shared" si="2"/>
        <v>729371</v>
      </c>
      <c r="V47" s="59">
        <f t="shared" si="3"/>
        <v>849474</v>
      </c>
      <c r="W47" s="59">
        <f t="shared" si="4"/>
        <v>788787</v>
      </c>
      <c r="X47" s="60">
        <f t="shared" si="5"/>
        <v>108.08162101317436</v>
      </c>
      <c r="Y47" s="65">
        <v>46</v>
      </c>
      <c r="Z47" s="65" t="str">
        <f>_xlfn.IFERROR(INDEX('Tabela PW'!$C:$F,'Słownik PW'!C47,1),"")</f>
        <v/>
      </c>
      <c r="AA47" s="65" t="str">
        <f>_xlfn.IFERROR(INDEX('Tabela PW'!$C:$F,'Słownik PW'!C47,4),"")</f>
        <v/>
      </c>
      <c r="AB47" s="65" t="str">
        <f t="shared" si="10"/>
        <v/>
      </c>
      <c r="AC47" s="65" t="str">
        <f>_xlfn.IFERROR(INDEX('Tabela PW'!$K:$K,'Słownik PW'!C47,1),"")</f>
        <v/>
      </c>
      <c r="AD47" s="65" t="str">
        <f>_xlfn.IFERROR(INDEX('Tabela PW'!$L:$L,'Słownik PW'!C47,1),"")</f>
        <v/>
      </c>
      <c r="AE47" s="65" t="str">
        <f>_xlfn.IFERROR(INDEX('Tabela PW'!$M:$M,'Słownik PW'!C47,1),"")</f>
        <v/>
      </c>
      <c r="AF47" s="65" t="str">
        <f>_xlfn.IFERROR(INDEX('Tabela PW'!$N:$N,'Słownik PW'!C47,1),"")</f>
        <v/>
      </c>
      <c r="AG47" s="65" t="str">
        <f>_xlfn.IFERROR(INDEX('Tabela PW'!$O:$O,'Słownik PW'!C47,1),"")</f>
        <v/>
      </c>
      <c r="AH47" s="65" t="str">
        <f>_xlfn.IFERROR(INDEX('Tabela PW'!$P:$P,'Słownik PW'!C47,1),"")</f>
        <v/>
      </c>
      <c r="AI47" s="65" t="str">
        <f>_xlfn.IFERROR(INDEX('Tabela PW'!$Q:$Q,'Słownik PW'!C47,1),"")</f>
        <v/>
      </c>
      <c r="AJ47" s="65" t="str">
        <f>_xlfn.IFERROR(INDEX('Tabela PW'!$R:$R,'Słownik PW'!C47,1),"")</f>
        <v/>
      </c>
      <c r="AK47" s="65" t="str">
        <f>_xlfn.IFERROR(INDEX('Tabela PW'!$S:$S,'Słownik PW'!C47,1),"")</f>
        <v/>
      </c>
      <c r="AL47" s="65" t="str">
        <f>_xlfn.IFERROR(INDEX('Tabela PW'!$T:$T,'Słownik PW'!C47,1),"")</f>
        <v/>
      </c>
      <c r="AM47" s="65" t="str">
        <f>_xlfn.IFERROR(INDEX('Tabela PW'!$U:$X,'Słownik PW'!C47,1),"")</f>
        <v/>
      </c>
      <c r="AN47" s="65" t="str">
        <f>_xlfn.IFERROR(INDEX('Tabela PW'!$U:$X,'Słownik PW'!C47,2),"")</f>
        <v/>
      </c>
      <c r="AO47" s="66" t="str">
        <f>_xlfn.IFERROR(INDEX('Tabela PW'!$U:$X,'Słownik PW'!C47,3),"")</f>
        <v/>
      </c>
      <c r="AP47" s="67" t="str">
        <f>_xlfn.IFERROR(INDEX('Tabela PW'!$U:$X,'Słownik PW'!C47,4),"")</f>
        <v/>
      </c>
      <c r="AQ47" s="66" t="str">
        <f>_xlfn.IFERROR(INDEX('Tabela PW'!$U:$X,'Słownik PW'!C47,5),"")</f>
        <v/>
      </c>
      <c r="AR47" s="67" t="str">
        <f>_xlfn.IFERROR(INDEX('Tabela PW'!$U:$X,'Słownik PW'!C47,6),"")</f>
        <v/>
      </c>
      <c r="AS47" s="67" t="str">
        <f>_xlfn.IFERROR(INDEX('Tabela PW'!$U:$X,'Słownik PW'!C47,7),"")</f>
        <v/>
      </c>
      <c r="AT47" s="65"/>
      <c r="AU47" s="65"/>
      <c r="AV47" s="65"/>
      <c r="AW47" s="65"/>
      <c r="AX47" s="65"/>
      <c r="AY47" s="65"/>
      <c r="AZ47" s="65"/>
      <c r="BA47" s="65"/>
      <c r="BB47" s="65"/>
      <c r="BC47" s="65"/>
      <c r="BD47" s="65"/>
      <c r="BE47" s="65"/>
      <c r="BF47" s="65"/>
      <c r="BG47" s="65"/>
      <c r="BH47" s="68"/>
      <c r="BI47" s="65"/>
    </row>
    <row r="48" spans="1:61" ht="15">
      <c r="A48" s="4" t="s">
        <v>67</v>
      </c>
      <c r="B48" s="5" t="s">
        <v>671</v>
      </c>
      <c r="C48" s="49" t="s">
        <v>71</v>
      </c>
      <c r="D48" s="349">
        <f t="shared" si="0"/>
        <v>35</v>
      </c>
      <c r="E48" s="350" t="s">
        <v>753</v>
      </c>
      <c r="F48" s="51" t="s">
        <v>25</v>
      </c>
      <c r="G48" s="351" t="s">
        <v>683</v>
      </c>
      <c r="H48" s="351" t="s">
        <v>1472</v>
      </c>
      <c r="I48" s="351" t="s">
        <v>1473</v>
      </c>
      <c r="J48" s="351" t="s">
        <v>3746</v>
      </c>
      <c r="K48" s="354">
        <v>34493</v>
      </c>
      <c r="L48" s="355">
        <v>34923</v>
      </c>
      <c r="M48" s="354">
        <v>33049</v>
      </c>
      <c r="N48" s="355">
        <v>29615</v>
      </c>
      <c r="O48" s="355">
        <v>32448</v>
      </c>
      <c r="P48" s="355">
        <v>30738</v>
      </c>
      <c r="Q48" s="355">
        <v>33316</v>
      </c>
      <c r="R48" s="355">
        <v>35390</v>
      </c>
      <c r="S48" s="355">
        <v>36072</v>
      </c>
      <c r="T48" s="355">
        <v>35309</v>
      </c>
      <c r="U48" s="59">
        <f t="shared" si="2"/>
        <v>29615</v>
      </c>
      <c r="V48" s="59">
        <f t="shared" si="3"/>
        <v>36072</v>
      </c>
      <c r="W48" s="59">
        <f t="shared" si="4"/>
        <v>33535.3</v>
      </c>
      <c r="X48" s="60">
        <f t="shared" si="5"/>
        <v>102.3656973878758</v>
      </c>
      <c r="Y48" s="65">
        <v>47</v>
      </c>
      <c r="Z48" s="65" t="str">
        <f>_xlfn.IFERROR(INDEX('Tabela PW'!$C:$F,'Słownik PW'!C48,1),"")</f>
        <v/>
      </c>
      <c r="AA48" s="65" t="str">
        <f>_xlfn.IFERROR(INDEX('Tabela PW'!$C:$F,'Słownik PW'!C48,4),"")</f>
        <v/>
      </c>
      <c r="AB48" s="65" t="str">
        <f t="shared" si="10"/>
        <v/>
      </c>
      <c r="AC48" s="65" t="str">
        <f>_xlfn.IFERROR(INDEX('Tabela PW'!$K:$K,'Słownik PW'!C48,1),"")</f>
        <v/>
      </c>
      <c r="AD48" s="65" t="str">
        <f>_xlfn.IFERROR(INDEX('Tabela PW'!$L:$L,'Słownik PW'!C48,1),"")</f>
        <v/>
      </c>
      <c r="AE48" s="65" t="str">
        <f>_xlfn.IFERROR(INDEX('Tabela PW'!$M:$M,'Słownik PW'!C48,1),"")</f>
        <v/>
      </c>
      <c r="AF48" s="65" t="str">
        <f>_xlfn.IFERROR(INDEX('Tabela PW'!$N:$N,'Słownik PW'!C48,1),"")</f>
        <v/>
      </c>
      <c r="AG48" s="65" t="str">
        <f>_xlfn.IFERROR(INDEX('Tabela PW'!$O:$O,'Słownik PW'!C48,1),"")</f>
        <v/>
      </c>
      <c r="AH48" s="65" t="str">
        <f>_xlfn.IFERROR(INDEX('Tabela PW'!$P:$P,'Słownik PW'!C48,1),"")</f>
        <v/>
      </c>
      <c r="AI48" s="65" t="str">
        <f>_xlfn.IFERROR(INDEX('Tabela PW'!$Q:$Q,'Słownik PW'!C48,1),"")</f>
        <v/>
      </c>
      <c r="AJ48" s="65" t="str">
        <f>_xlfn.IFERROR(INDEX('Tabela PW'!$R:$R,'Słownik PW'!C48,1),"")</f>
        <v/>
      </c>
      <c r="AK48" s="65" t="str">
        <f>_xlfn.IFERROR(INDEX('Tabela PW'!$S:$S,'Słownik PW'!C48,1),"")</f>
        <v/>
      </c>
      <c r="AL48" s="65" t="str">
        <f>_xlfn.IFERROR(INDEX('Tabela PW'!$T:$T,'Słownik PW'!C48,1),"")</f>
        <v/>
      </c>
      <c r="AM48" s="65" t="str">
        <f>_xlfn.IFERROR(INDEX('Tabela PW'!$U:$X,'Słownik PW'!C48,1),"")</f>
        <v/>
      </c>
      <c r="AN48" s="65" t="str">
        <f>_xlfn.IFERROR(INDEX('Tabela PW'!$U:$X,'Słownik PW'!C48,2),"")</f>
        <v/>
      </c>
      <c r="AO48" s="66" t="str">
        <f>_xlfn.IFERROR(INDEX('Tabela PW'!$U:$X,'Słownik PW'!C48,3),"")</f>
        <v/>
      </c>
      <c r="AP48" s="67" t="str">
        <f>_xlfn.IFERROR(INDEX('Tabela PW'!$U:$X,'Słownik PW'!C48,4),"")</f>
        <v/>
      </c>
      <c r="AQ48" s="66" t="str">
        <f>_xlfn.IFERROR(INDEX('Tabela PW'!$U:$X,'Słownik PW'!C48,5),"")</f>
        <v/>
      </c>
      <c r="AR48" s="67" t="str">
        <f>_xlfn.IFERROR(INDEX('Tabela PW'!$U:$X,'Słownik PW'!C48,6),"")</f>
        <v/>
      </c>
      <c r="AS48" s="67" t="str">
        <f>_xlfn.IFERROR(INDEX('Tabela PW'!$U:$X,'Słownik PW'!C48,7),"")</f>
        <v/>
      </c>
      <c r="AT48" s="65"/>
      <c r="AU48" s="65"/>
      <c r="AV48" s="65"/>
      <c r="AW48" s="65"/>
      <c r="AX48" s="65"/>
      <c r="AY48" s="65"/>
      <c r="AZ48" s="65"/>
      <c r="BA48" s="65"/>
      <c r="BB48" s="65"/>
      <c r="BC48" s="65"/>
      <c r="BD48" s="65"/>
      <c r="BE48" s="65"/>
      <c r="BF48" s="65"/>
      <c r="BG48" s="65"/>
      <c r="BH48" s="68"/>
      <c r="BI48" s="65"/>
    </row>
    <row r="49" spans="1:61" ht="15">
      <c r="A49" s="4" t="s">
        <v>67</v>
      </c>
      <c r="B49" s="5" t="s">
        <v>671</v>
      </c>
      <c r="C49" s="49" t="s">
        <v>2</v>
      </c>
      <c r="D49" s="349">
        <f t="shared" si="0"/>
        <v>17</v>
      </c>
      <c r="E49" s="350" t="s">
        <v>754</v>
      </c>
      <c r="F49" s="51" t="s">
        <v>25</v>
      </c>
      <c r="G49" s="351" t="s">
        <v>683</v>
      </c>
      <c r="H49" s="351" t="s">
        <v>1474</v>
      </c>
      <c r="I49" s="351" t="s">
        <v>1475</v>
      </c>
      <c r="J49" s="351" t="s">
        <v>3747</v>
      </c>
      <c r="K49" s="354">
        <v>39111</v>
      </c>
      <c r="L49" s="355">
        <v>36964</v>
      </c>
      <c r="M49" s="354">
        <v>37825</v>
      </c>
      <c r="N49" s="355">
        <v>36275</v>
      </c>
      <c r="O49" s="355">
        <v>30077</v>
      </c>
      <c r="P49" s="355">
        <v>31512</v>
      </c>
      <c r="Q49" s="355">
        <v>26692</v>
      </c>
      <c r="R49" s="355">
        <v>27082</v>
      </c>
      <c r="S49" s="355">
        <v>26104</v>
      </c>
      <c r="T49" s="355">
        <v>26552</v>
      </c>
      <c r="U49" s="59">
        <f t="shared" si="2"/>
        <v>26104</v>
      </c>
      <c r="V49" s="59">
        <f t="shared" si="3"/>
        <v>39111</v>
      </c>
      <c r="W49" s="59">
        <f t="shared" si="4"/>
        <v>31819.4</v>
      </c>
      <c r="X49" s="60">
        <f t="shared" si="5"/>
        <v>67.88882922962848</v>
      </c>
      <c r="Y49" s="65">
        <v>48</v>
      </c>
      <c r="Z49" s="65" t="str">
        <f>_xlfn.IFERROR(INDEX('Tabela PW'!$C:$F,'Słownik PW'!C49,1),"")</f>
        <v/>
      </c>
      <c r="AA49" s="65" t="str">
        <f>_xlfn.IFERROR(INDEX('Tabela PW'!$C:$F,'Słownik PW'!C49,4),"")</f>
        <v/>
      </c>
      <c r="AB49" s="65" t="str">
        <f t="shared" si="10"/>
        <v/>
      </c>
      <c r="AC49" s="65" t="str">
        <f>_xlfn.IFERROR(INDEX('Tabela PW'!$K:$K,'Słownik PW'!C49,1),"")</f>
        <v/>
      </c>
      <c r="AD49" s="65" t="str">
        <f>_xlfn.IFERROR(INDEX('Tabela PW'!$L:$L,'Słownik PW'!C49,1),"")</f>
        <v/>
      </c>
      <c r="AE49" s="65" t="str">
        <f>_xlfn.IFERROR(INDEX('Tabela PW'!$M:$M,'Słownik PW'!C49,1),"")</f>
        <v/>
      </c>
      <c r="AF49" s="65" t="str">
        <f>_xlfn.IFERROR(INDEX('Tabela PW'!$N:$N,'Słownik PW'!C49,1),"")</f>
        <v/>
      </c>
      <c r="AG49" s="65" t="str">
        <f>_xlfn.IFERROR(INDEX('Tabela PW'!$O:$O,'Słownik PW'!C49,1),"")</f>
        <v/>
      </c>
      <c r="AH49" s="65" t="str">
        <f>_xlfn.IFERROR(INDEX('Tabela PW'!$P:$P,'Słownik PW'!C49,1),"")</f>
        <v/>
      </c>
      <c r="AI49" s="65" t="str">
        <f>_xlfn.IFERROR(INDEX('Tabela PW'!$Q:$Q,'Słownik PW'!C49,1),"")</f>
        <v/>
      </c>
      <c r="AJ49" s="65" t="str">
        <f>_xlfn.IFERROR(INDEX('Tabela PW'!$R:$R,'Słownik PW'!C49,1),"")</f>
        <v/>
      </c>
      <c r="AK49" s="65" t="str">
        <f>_xlfn.IFERROR(INDEX('Tabela PW'!$S:$S,'Słownik PW'!C49,1),"")</f>
        <v/>
      </c>
      <c r="AL49" s="65" t="str">
        <f>_xlfn.IFERROR(INDEX('Tabela PW'!$T:$T,'Słownik PW'!C49,1),"")</f>
        <v/>
      </c>
      <c r="AM49" s="65" t="str">
        <f>_xlfn.IFERROR(INDEX('Tabela PW'!$U:$X,'Słownik PW'!C49,1),"")</f>
        <v/>
      </c>
      <c r="AN49" s="65" t="str">
        <f>_xlfn.IFERROR(INDEX('Tabela PW'!$U:$X,'Słownik PW'!C49,2),"")</f>
        <v/>
      </c>
      <c r="AO49" s="66" t="str">
        <f>_xlfn.IFERROR(INDEX('Tabela PW'!$U:$X,'Słownik PW'!C49,3),"")</f>
        <v/>
      </c>
      <c r="AP49" s="67" t="str">
        <f>_xlfn.IFERROR(INDEX('Tabela PW'!$U:$X,'Słownik PW'!C49,4),"")</f>
        <v/>
      </c>
      <c r="AQ49" s="66" t="str">
        <f>_xlfn.IFERROR(INDEX('Tabela PW'!$U:$X,'Słownik PW'!C49,5),"")</f>
        <v/>
      </c>
      <c r="AR49" s="67" t="str">
        <f>_xlfn.IFERROR(INDEX('Tabela PW'!$U:$X,'Słownik PW'!C49,6),"")</f>
        <v/>
      </c>
      <c r="AS49" s="67" t="str">
        <f>_xlfn.IFERROR(INDEX('Tabela PW'!$U:$X,'Słownik PW'!C49,7),"")</f>
        <v/>
      </c>
      <c r="AT49" s="65"/>
      <c r="AU49" s="65"/>
      <c r="AV49" s="65"/>
      <c r="AW49" s="65"/>
      <c r="AX49" s="65"/>
      <c r="AY49" s="65"/>
      <c r="AZ49" s="65"/>
      <c r="BA49" s="65"/>
      <c r="BB49" s="65"/>
      <c r="BC49" s="65"/>
      <c r="BD49" s="65"/>
      <c r="BE49" s="65"/>
      <c r="BF49" s="65"/>
      <c r="BG49" s="65"/>
      <c r="BH49" s="68"/>
      <c r="BI49" s="65"/>
    </row>
    <row r="50" spans="1:61" ht="15">
      <c r="A50" s="4" t="s">
        <v>67</v>
      </c>
      <c r="B50" s="5" t="s">
        <v>671</v>
      </c>
      <c r="C50" s="49" t="s">
        <v>3</v>
      </c>
      <c r="D50" s="349">
        <f t="shared" si="0"/>
        <v>27</v>
      </c>
      <c r="E50" s="350" t="s">
        <v>755</v>
      </c>
      <c r="F50" s="51" t="s">
        <v>25</v>
      </c>
      <c r="G50" s="351" t="s">
        <v>683</v>
      </c>
      <c r="H50" s="351" t="s">
        <v>1476</v>
      </c>
      <c r="I50" s="351" t="s">
        <v>1477</v>
      </c>
      <c r="J50" s="351" t="s">
        <v>3748</v>
      </c>
      <c r="K50" s="354">
        <v>134767</v>
      </c>
      <c r="L50" s="355">
        <v>178955</v>
      </c>
      <c r="M50" s="354">
        <v>207356</v>
      </c>
      <c r="N50" s="355">
        <v>203177</v>
      </c>
      <c r="O50" s="355">
        <v>196083</v>
      </c>
      <c r="P50" s="355">
        <v>182655</v>
      </c>
      <c r="Q50" s="355">
        <v>190117</v>
      </c>
      <c r="R50" s="355">
        <v>195040</v>
      </c>
      <c r="S50" s="355">
        <v>182244</v>
      </c>
      <c r="T50" s="355">
        <v>199510</v>
      </c>
      <c r="U50" s="59">
        <f t="shared" si="2"/>
        <v>134767</v>
      </c>
      <c r="V50" s="59">
        <f t="shared" si="3"/>
        <v>207356</v>
      </c>
      <c r="W50" s="59">
        <f t="shared" si="4"/>
        <v>186990.4</v>
      </c>
      <c r="X50" s="60">
        <f t="shared" si="5"/>
        <v>148.0406924543842</v>
      </c>
      <c r="Y50" s="65">
        <v>49</v>
      </c>
      <c r="Z50" s="65" t="str">
        <f>_xlfn.IFERROR(INDEX('Tabela PW'!$C:$F,'Słownik PW'!C50,1),"")</f>
        <v/>
      </c>
      <c r="AA50" s="65" t="str">
        <f>_xlfn.IFERROR(INDEX('Tabela PW'!$C:$F,'Słownik PW'!C50,4),"")</f>
        <v/>
      </c>
      <c r="AB50" s="65" t="str">
        <f t="shared" si="10"/>
        <v/>
      </c>
      <c r="AC50" s="65" t="str">
        <f>_xlfn.IFERROR(INDEX('Tabela PW'!$K:$K,'Słownik PW'!C50,1),"")</f>
        <v/>
      </c>
      <c r="AD50" s="65" t="str">
        <f>_xlfn.IFERROR(INDEX('Tabela PW'!$L:$L,'Słownik PW'!C50,1),"")</f>
        <v/>
      </c>
      <c r="AE50" s="65" t="str">
        <f>_xlfn.IFERROR(INDEX('Tabela PW'!$M:$M,'Słownik PW'!C50,1),"")</f>
        <v/>
      </c>
      <c r="AF50" s="65" t="str">
        <f>_xlfn.IFERROR(INDEX('Tabela PW'!$N:$N,'Słownik PW'!C50,1),"")</f>
        <v/>
      </c>
      <c r="AG50" s="65" t="str">
        <f>_xlfn.IFERROR(INDEX('Tabela PW'!$O:$O,'Słownik PW'!C50,1),"")</f>
        <v/>
      </c>
      <c r="AH50" s="65" t="str">
        <f>_xlfn.IFERROR(INDEX('Tabela PW'!$P:$P,'Słownik PW'!C50,1),"")</f>
        <v/>
      </c>
      <c r="AI50" s="65" t="str">
        <f>_xlfn.IFERROR(INDEX('Tabela PW'!$Q:$Q,'Słownik PW'!C50,1),"")</f>
        <v/>
      </c>
      <c r="AJ50" s="65" t="str">
        <f>_xlfn.IFERROR(INDEX('Tabela PW'!$R:$R,'Słownik PW'!C50,1),"")</f>
        <v/>
      </c>
      <c r="AK50" s="65" t="str">
        <f>_xlfn.IFERROR(INDEX('Tabela PW'!$S:$S,'Słownik PW'!C50,1),"")</f>
        <v/>
      </c>
      <c r="AL50" s="65" t="str">
        <f>_xlfn.IFERROR(INDEX('Tabela PW'!$T:$T,'Słownik PW'!C50,1),"")</f>
        <v/>
      </c>
      <c r="AM50" s="65" t="str">
        <f>_xlfn.IFERROR(INDEX('Tabela PW'!$U:$X,'Słownik PW'!C50,1),"")</f>
        <v/>
      </c>
      <c r="AN50" s="65" t="str">
        <f>_xlfn.IFERROR(INDEX('Tabela PW'!$U:$X,'Słownik PW'!C50,2),"")</f>
        <v/>
      </c>
      <c r="AO50" s="66" t="str">
        <f>_xlfn.IFERROR(INDEX('Tabela PW'!$U:$X,'Słownik PW'!C50,3),"")</f>
        <v/>
      </c>
      <c r="AP50" s="67" t="str">
        <f>_xlfn.IFERROR(INDEX('Tabela PW'!$U:$X,'Słownik PW'!C50,4),"")</f>
        <v/>
      </c>
      <c r="AQ50" s="66" t="str">
        <f>_xlfn.IFERROR(INDEX('Tabela PW'!$U:$X,'Słownik PW'!C50,5),"")</f>
        <v/>
      </c>
      <c r="AR50" s="67" t="str">
        <f>_xlfn.IFERROR(INDEX('Tabela PW'!$U:$X,'Słownik PW'!C50,6),"")</f>
        <v/>
      </c>
      <c r="AS50" s="67" t="str">
        <f>_xlfn.IFERROR(INDEX('Tabela PW'!$U:$X,'Słownik PW'!C50,7),"")</f>
        <v/>
      </c>
      <c r="AT50" s="65"/>
      <c r="AU50" s="65"/>
      <c r="AV50" s="65"/>
      <c r="AW50" s="65"/>
      <c r="AX50" s="65"/>
      <c r="AY50" s="65"/>
      <c r="AZ50" s="65"/>
      <c r="BA50" s="65"/>
      <c r="BB50" s="65"/>
      <c r="BC50" s="65"/>
      <c r="BD50" s="65"/>
      <c r="BE50" s="65"/>
      <c r="BF50" s="65"/>
      <c r="BG50" s="65"/>
      <c r="BH50" s="68"/>
      <c r="BI50" s="65"/>
    </row>
    <row r="51" spans="1:61" ht="15">
      <c r="A51" s="4" t="s">
        <v>67</v>
      </c>
      <c r="B51" s="5" t="s">
        <v>671</v>
      </c>
      <c r="C51" s="49" t="s">
        <v>4</v>
      </c>
      <c r="D51" s="349">
        <f t="shared" si="0"/>
        <v>29</v>
      </c>
      <c r="E51" s="350" t="s">
        <v>756</v>
      </c>
      <c r="F51" s="51" t="s">
        <v>25</v>
      </c>
      <c r="G51" s="351" t="s">
        <v>683</v>
      </c>
      <c r="H51" s="351" t="s">
        <v>1478</v>
      </c>
      <c r="I51" s="351" t="s">
        <v>1479</v>
      </c>
      <c r="J51" s="351" t="s">
        <v>3749</v>
      </c>
      <c r="K51" s="354">
        <v>36507</v>
      </c>
      <c r="L51" s="355">
        <v>43525</v>
      </c>
      <c r="M51" s="354">
        <v>38405</v>
      </c>
      <c r="N51" s="355">
        <v>37984</v>
      </c>
      <c r="O51" s="355">
        <v>33099</v>
      </c>
      <c r="P51" s="355">
        <v>34273</v>
      </c>
      <c r="Q51" s="355">
        <v>39333</v>
      </c>
      <c r="R51" s="355">
        <v>41594</v>
      </c>
      <c r="S51" s="355">
        <v>36864</v>
      </c>
      <c r="T51" s="355">
        <v>35027</v>
      </c>
      <c r="U51" s="59">
        <f t="shared" si="2"/>
        <v>33099</v>
      </c>
      <c r="V51" s="59">
        <f t="shared" si="3"/>
        <v>43525</v>
      </c>
      <c r="W51" s="59">
        <f t="shared" si="4"/>
        <v>37661.1</v>
      </c>
      <c r="X51" s="60">
        <f t="shared" si="5"/>
        <v>95.94598296217164</v>
      </c>
      <c r="Y51" s="65">
        <v>50</v>
      </c>
      <c r="Z51" s="65" t="str">
        <f>_xlfn.IFERROR(INDEX('Tabela PW'!$C:$F,'Słownik PW'!C51,1),"")</f>
        <v/>
      </c>
      <c r="AA51" s="65" t="str">
        <f>_xlfn.IFERROR(INDEX('Tabela PW'!$C:$F,'Słownik PW'!C51,4),"")</f>
        <v/>
      </c>
      <c r="AB51" s="65" t="str">
        <f t="shared" si="10"/>
        <v/>
      </c>
      <c r="AC51" s="65" t="str">
        <f>_xlfn.IFERROR(INDEX('Tabela PW'!$K:$K,'Słownik PW'!C51,1),"")</f>
        <v/>
      </c>
      <c r="AD51" s="65" t="str">
        <f>_xlfn.IFERROR(INDEX('Tabela PW'!$L:$L,'Słownik PW'!C51,1),"")</f>
        <v/>
      </c>
      <c r="AE51" s="65" t="str">
        <f>_xlfn.IFERROR(INDEX('Tabela PW'!$M:$M,'Słownik PW'!C51,1),"")</f>
        <v/>
      </c>
      <c r="AF51" s="65" t="str">
        <f>_xlfn.IFERROR(INDEX('Tabela PW'!$N:$N,'Słownik PW'!C51,1),"")</f>
        <v/>
      </c>
      <c r="AG51" s="65" t="str">
        <f>_xlfn.IFERROR(INDEX('Tabela PW'!$O:$O,'Słownik PW'!C51,1),"")</f>
        <v/>
      </c>
      <c r="AH51" s="65" t="str">
        <f>_xlfn.IFERROR(INDEX('Tabela PW'!$P:$P,'Słownik PW'!C51,1),"")</f>
        <v/>
      </c>
      <c r="AI51" s="65" t="str">
        <f>_xlfn.IFERROR(INDEX('Tabela PW'!$Q:$Q,'Słownik PW'!C51,1),"")</f>
        <v/>
      </c>
      <c r="AJ51" s="65" t="str">
        <f>_xlfn.IFERROR(INDEX('Tabela PW'!$R:$R,'Słownik PW'!C51,1),"")</f>
        <v/>
      </c>
      <c r="AK51" s="65" t="str">
        <f>_xlfn.IFERROR(INDEX('Tabela PW'!$S:$S,'Słownik PW'!C51,1),"")</f>
        <v/>
      </c>
      <c r="AL51" s="65" t="str">
        <f>_xlfn.IFERROR(INDEX('Tabela PW'!$T:$T,'Słownik PW'!C51,1),"")</f>
        <v/>
      </c>
      <c r="AM51" s="65" t="str">
        <f>_xlfn.IFERROR(INDEX('Tabela PW'!$U:$X,'Słownik PW'!C51,1),"")</f>
        <v/>
      </c>
      <c r="AN51" s="65" t="str">
        <f>_xlfn.IFERROR(INDEX('Tabela PW'!$U:$X,'Słownik PW'!C51,2),"")</f>
        <v/>
      </c>
      <c r="AO51" s="66" t="str">
        <f>_xlfn.IFERROR(INDEX('Tabela PW'!$U:$X,'Słownik PW'!C51,3),"")</f>
        <v/>
      </c>
      <c r="AP51" s="67" t="str">
        <f>_xlfn.IFERROR(INDEX('Tabela PW'!$U:$X,'Słownik PW'!C51,4),"")</f>
        <v/>
      </c>
      <c r="AQ51" s="66" t="str">
        <f>_xlfn.IFERROR(INDEX('Tabela PW'!$U:$X,'Słownik PW'!C51,5),"")</f>
        <v/>
      </c>
      <c r="AR51" s="67" t="str">
        <f>_xlfn.IFERROR(INDEX('Tabela PW'!$U:$X,'Słownik PW'!C51,6),"")</f>
        <v/>
      </c>
      <c r="AS51" s="67" t="str">
        <f>_xlfn.IFERROR(INDEX('Tabela PW'!$U:$X,'Słownik PW'!C51,7),"")</f>
        <v/>
      </c>
      <c r="AT51" s="65"/>
      <c r="AU51" s="65"/>
      <c r="AV51" s="65"/>
      <c r="AW51" s="65"/>
      <c r="AX51" s="65"/>
      <c r="AY51" s="65"/>
      <c r="AZ51" s="65"/>
      <c r="BA51" s="65"/>
      <c r="BB51" s="65"/>
      <c r="BC51" s="65"/>
      <c r="BD51" s="65"/>
      <c r="BE51" s="65"/>
      <c r="BF51" s="65"/>
      <c r="BG51" s="65"/>
      <c r="BH51" s="68"/>
      <c r="BI51" s="65"/>
    </row>
    <row r="52" spans="1:61" ht="15">
      <c r="A52" s="4" t="s">
        <v>67</v>
      </c>
      <c r="B52" s="5" t="s">
        <v>671</v>
      </c>
      <c r="C52" s="49" t="s">
        <v>72</v>
      </c>
      <c r="D52" s="349">
        <f t="shared" si="0"/>
        <v>72</v>
      </c>
      <c r="E52" s="350" t="s">
        <v>757</v>
      </c>
      <c r="F52" s="51" t="s">
        <v>25</v>
      </c>
      <c r="G52" s="351" t="s">
        <v>683</v>
      </c>
      <c r="H52" s="351" t="s">
        <v>1480</v>
      </c>
      <c r="I52" s="351" t="s">
        <v>1481</v>
      </c>
      <c r="J52" s="351" t="s">
        <v>3750</v>
      </c>
      <c r="K52" s="354">
        <v>54119</v>
      </c>
      <c r="L52" s="355">
        <v>59319</v>
      </c>
      <c r="M52" s="354">
        <v>65413</v>
      </c>
      <c r="N52" s="355">
        <v>66815</v>
      </c>
      <c r="O52" s="355">
        <v>64404</v>
      </c>
      <c r="P52" s="355">
        <v>65880</v>
      </c>
      <c r="Q52" s="355">
        <v>69725</v>
      </c>
      <c r="R52" s="355">
        <v>63495</v>
      </c>
      <c r="S52" s="355">
        <v>59995</v>
      </c>
      <c r="T52" s="355">
        <v>59795</v>
      </c>
      <c r="U52" s="59">
        <f t="shared" si="2"/>
        <v>54119</v>
      </c>
      <c r="V52" s="59">
        <f t="shared" si="3"/>
        <v>69725</v>
      </c>
      <c r="W52" s="59">
        <f t="shared" si="4"/>
        <v>62896</v>
      </c>
      <c r="X52" s="60">
        <f t="shared" si="5"/>
        <v>110.48799866959848</v>
      </c>
      <c r="Y52" s="65">
        <v>51</v>
      </c>
      <c r="Z52" s="65" t="str">
        <f>_xlfn.IFERROR(INDEX('Tabela PW'!$C:$F,'Słownik PW'!C52,1),"")</f>
        <v/>
      </c>
      <c r="AA52" s="65" t="str">
        <f>_xlfn.IFERROR(INDEX('Tabela PW'!$C:$F,'Słownik PW'!C52,4),"")</f>
        <v/>
      </c>
      <c r="AB52" s="65" t="str">
        <f t="shared" si="10"/>
        <v/>
      </c>
      <c r="AC52" s="65" t="str">
        <f>_xlfn.IFERROR(INDEX('Tabela PW'!$K:$K,'Słownik PW'!C52,1),"")</f>
        <v/>
      </c>
      <c r="AD52" s="65" t="str">
        <f>_xlfn.IFERROR(INDEX('Tabela PW'!$L:$L,'Słownik PW'!C52,1),"")</f>
        <v/>
      </c>
      <c r="AE52" s="65" t="str">
        <f>_xlfn.IFERROR(INDEX('Tabela PW'!$M:$M,'Słownik PW'!C52,1),"")</f>
        <v/>
      </c>
      <c r="AF52" s="65" t="str">
        <f>_xlfn.IFERROR(INDEX('Tabela PW'!$N:$N,'Słownik PW'!C52,1),"")</f>
        <v/>
      </c>
      <c r="AG52" s="65" t="str">
        <f>_xlfn.IFERROR(INDEX('Tabela PW'!$O:$O,'Słownik PW'!C52,1),"")</f>
        <v/>
      </c>
      <c r="AH52" s="65" t="str">
        <f>_xlfn.IFERROR(INDEX('Tabela PW'!$P:$P,'Słownik PW'!C52,1),"")</f>
        <v/>
      </c>
      <c r="AI52" s="65" t="str">
        <f>_xlfn.IFERROR(INDEX('Tabela PW'!$Q:$Q,'Słownik PW'!C52,1),"")</f>
        <v/>
      </c>
      <c r="AJ52" s="65" t="str">
        <f>_xlfn.IFERROR(INDEX('Tabela PW'!$R:$R,'Słownik PW'!C52,1),"")</f>
        <v/>
      </c>
      <c r="AK52" s="65" t="str">
        <f>_xlfn.IFERROR(INDEX('Tabela PW'!$S:$S,'Słownik PW'!C52,1),"")</f>
        <v/>
      </c>
      <c r="AL52" s="65" t="str">
        <f>_xlfn.IFERROR(INDEX('Tabela PW'!$T:$T,'Słownik PW'!C52,1),"")</f>
        <v/>
      </c>
      <c r="AM52" s="65" t="str">
        <f>_xlfn.IFERROR(INDEX('Tabela PW'!$U:$X,'Słownik PW'!C52,1),"")</f>
        <v/>
      </c>
      <c r="AN52" s="65" t="str">
        <f>_xlfn.IFERROR(INDEX('Tabela PW'!$U:$X,'Słownik PW'!C52,2),"")</f>
        <v/>
      </c>
      <c r="AO52" s="66" t="str">
        <f>_xlfn.IFERROR(INDEX('Tabela PW'!$U:$X,'Słownik PW'!C52,3),"")</f>
        <v/>
      </c>
      <c r="AP52" s="67" t="str">
        <f>_xlfn.IFERROR(INDEX('Tabela PW'!$U:$X,'Słownik PW'!C52,4),"")</f>
        <v/>
      </c>
      <c r="AQ52" s="66" t="str">
        <f>_xlfn.IFERROR(INDEX('Tabela PW'!$U:$X,'Słownik PW'!C52,5),"")</f>
        <v/>
      </c>
      <c r="AR52" s="67" t="str">
        <f>_xlfn.IFERROR(INDEX('Tabela PW'!$U:$X,'Słownik PW'!C52,6),"")</f>
        <v/>
      </c>
      <c r="AS52" s="67" t="str">
        <f>_xlfn.IFERROR(INDEX('Tabela PW'!$U:$X,'Słownik PW'!C52,7),"")</f>
        <v/>
      </c>
      <c r="AT52" s="65"/>
      <c r="AU52" s="65"/>
      <c r="AV52" s="65"/>
      <c r="AW52" s="65"/>
      <c r="AX52" s="65"/>
      <c r="AY52" s="65"/>
      <c r="AZ52" s="65"/>
      <c r="BA52" s="65"/>
      <c r="BB52" s="65"/>
      <c r="BC52" s="65"/>
      <c r="BD52" s="65"/>
      <c r="BE52" s="65"/>
      <c r="BF52" s="65"/>
      <c r="BG52" s="65"/>
      <c r="BH52" s="68"/>
      <c r="BI52" s="65"/>
    </row>
    <row r="53" spans="1:61" ht="15">
      <c r="A53" s="4" t="s">
        <v>67</v>
      </c>
      <c r="B53" s="5" t="s">
        <v>671</v>
      </c>
      <c r="C53" s="49" t="s">
        <v>5</v>
      </c>
      <c r="D53" s="349">
        <f t="shared" si="0"/>
        <v>20</v>
      </c>
      <c r="E53" s="350" t="s">
        <v>758</v>
      </c>
      <c r="F53" s="51" t="s">
        <v>25</v>
      </c>
      <c r="G53" s="351" t="s">
        <v>683</v>
      </c>
      <c r="H53" s="351" t="s">
        <v>1482</v>
      </c>
      <c r="I53" s="351" t="s">
        <v>1483</v>
      </c>
      <c r="J53" s="351" t="s">
        <v>3751</v>
      </c>
      <c r="K53" s="354">
        <v>44209</v>
      </c>
      <c r="L53" s="355">
        <v>43870</v>
      </c>
      <c r="M53" s="354">
        <v>79347</v>
      </c>
      <c r="N53" s="355">
        <v>101239</v>
      </c>
      <c r="O53" s="355">
        <v>85650</v>
      </c>
      <c r="P53" s="355">
        <v>77694</v>
      </c>
      <c r="Q53" s="355">
        <v>70537</v>
      </c>
      <c r="R53" s="355">
        <v>65833</v>
      </c>
      <c r="S53" s="355">
        <v>80921</v>
      </c>
      <c r="T53" s="355">
        <v>92597</v>
      </c>
      <c r="U53" s="59">
        <f t="shared" si="2"/>
        <v>43870</v>
      </c>
      <c r="V53" s="59">
        <f t="shared" si="3"/>
        <v>101239</v>
      </c>
      <c r="W53" s="59">
        <f t="shared" si="4"/>
        <v>74189.7</v>
      </c>
      <c r="X53" s="60">
        <f t="shared" si="5"/>
        <v>209.4528263475763</v>
      </c>
      <c r="Y53" s="65">
        <v>52</v>
      </c>
      <c r="Z53" s="65" t="str">
        <f>_xlfn.IFERROR(INDEX('Tabela PW'!$C:$F,'Słownik PW'!C53,1),"")</f>
        <v/>
      </c>
      <c r="AA53" s="65" t="str">
        <f>_xlfn.IFERROR(INDEX('Tabela PW'!$C:$F,'Słownik PW'!C53,4),"")</f>
        <v/>
      </c>
      <c r="AB53" s="65" t="str">
        <f t="shared" si="10"/>
        <v/>
      </c>
      <c r="AC53" s="65" t="str">
        <f>_xlfn.IFERROR(INDEX('Tabela PW'!$K:$K,'Słownik PW'!C53,1),"")</f>
        <v/>
      </c>
      <c r="AD53" s="65" t="str">
        <f>_xlfn.IFERROR(INDEX('Tabela PW'!$L:$L,'Słownik PW'!C53,1),"")</f>
        <v/>
      </c>
      <c r="AE53" s="65" t="str">
        <f>_xlfn.IFERROR(INDEX('Tabela PW'!$M:$M,'Słownik PW'!C53,1),"")</f>
        <v/>
      </c>
      <c r="AF53" s="65" t="str">
        <f>_xlfn.IFERROR(INDEX('Tabela PW'!$N:$N,'Słownik PW'!C53,1),"")</f>
        <v/>
      </c>
      <c r="AG53" s="65" t="str">
        <f>_xlfn.IFERROR(INDEX('Tabela PW'!$O:$O,'Słownik PW'!C53,1),"")</f>
        <v/>
      </c>
      <c r="AH53" s="65" t="str">
        <f>_xlfn.IFERROR(INDEX('Tabela PW'!$P:$P,'Słownik PW'!C53,1),"")</f>
        <v/>
      </c>
      <c r="AI53" s="65" t="str">
        <f>_xlfn.IFERROR(INDEX('Tabela PW'!$Q:$Q,'Słownik PW'!C53,1),"")</f>
        <v/>
      </c>
      <c r="AJ53" s="65" t="str">
        <f>_xlfn.IFERROR(INDEX('Tabela PW'!$R:$R,'Słownik PW'!C53,1),"")</f>
        <v/>
      </c>
      <c r="AK53" s="65" t="str">
        <f>_xlfn.IFERROR(INDEX('Tabela PW'!$S:$S,'Słownik PW'!C53,1),"")</f>
        <v/>
      </c>
      <c r="AL53" s="65" t="str">
        <f>_xlfn.IFERROR(INDEX('Tabela PW'!$T:$T,'Słownik PW'!C53,1),"")</f>
        <v/>
      </c>
      <c r="AM53" s="65" t="str">
        <f>_xlfn.IFERROR(INDEX('Tabela PW'!$U:$X,'Słownik PW'!C53,1),"")</f>
        <v/>
      </c>
      <c r="AN53" s="65" t="str">
        <f>_xlfn.IFERROR(INDEX('Tabela PW'!$U:$X,'Słownik PW'!C53,2),"")</f>
        <v/>
      </c>
      <c r="AO53" s="66" t="str">
        <f>_xlfn.IFERROR(INDEX('Tabela PW'!$U:$X,'Słownik PW'!C53,3),"")</f>
        <v/>
      </c>
      <c r="AP53" s="67" t="str">
        <f>_xlfn.IFERROR(INDEX('Tabela PW'!$U:$X,'Słownik PW'!C53,4),"")</f>
        <v/>
      </c>
      <c r="AQ53" s="66" t="str">
        <f>_xlfn.IFERROR(INDEX('Tabela PW'!$U:$X,'Słownik PW'!C53,5),"")</f>
        <v/>
      </c>
      <c r="AR53" s="67" t="str">
        <f>_xlfn.IFERROR(INDEX('Tabela PW'!$U:$X,'Słownik PW'!C53,6),"")</f>
        <v/>
      </c>
      <c r="AS53" s="67" t="str">
        <f>_xlfn.IFERROR(INDEX('Tabela PW'!$U:$X,'Słownik PW'!C53,7),"")</f>
        <v/>
      </c>
      <c r="AT53" s="65"/>
      <c r="AU53" s="65"/>
      <c r="AV53" s="65"/>
      <c r="AW53" s="65"/>
      <c r="AX53" s="65"/>
      <c r="AY53" s="65"/>
      <c r="AZ53" s="65"/>
      <c r="BA53" s="65"/>
      <c r="BB53" s="65"/>
      <c r="BC53" s="65"/>
      <c r="BD53" s="65"/>
      <c r="BE53" s="65"/>
      <c r="BF53" s="65"/>
      <c r="BG53" s="65"/>
      <c r="BH53" s="68"/>
      <c r="BI53" s="65"/>
    </row>
    <row r="54" spans="1:61" ht="15">
      <c r="A54" s="4" t="s">
        <v>67</v>
      </c>
      <c r="B54" s="5" t="s">
        <v>671</v>
      </c>
      <c r="C54" s="49" t="s">
        <v>6</v>
      </c>
      <c r="D54" s="349">
        <f t="shared" si="0"/>
        <v>12</v>
      </c>
      <c r="E54" s="350" t="s">
        <v>759</v>
      </c>
      <c r="F54" s="51" t="s">
        <v>25</v>
      </c>
      <c r="G54" s="351" t="s">
        <v>683</v>
      </c>
      <c r="H54" s="351" t="s">
        <v>1484</v>
      </c>
      <c r="I54" s="351" t="s">
        <v>1485</v>
      </c>
      <c r="J54" s="351" t="s">
        <v>3752</v>
      </c>
      <c r="K54" s="354">
        <v>83025</v>
      </c>
      <c r="L54" s="355">
        <v>80464</v>
      </c>
      <c r="M54" s="354">
        <v>85093</v>
      </c>
      <c r="N54" s="355">
        <v>89906</v>
      </c>
      <c r="O54" s="355">
        <v>82498</v>
      </c>
      <c r="P54" s="355">
        <v>91499</v>
      </c>
      <c r="Q54" s="355">
        <v>97885</v>
      </c>
      <c r="R54" s="355">
        <v>82922</v>
      </c>
      <c r="S54" s="355">
        <v>87318</v>
      </c>
      <c r="T54" s="355">
        <v>85275</v>
      </c>
      <c r="U54" s="59">
        <f t="shared" si="2"/>
        <v>80464</v>
      </c>
      <c r="V54" s="59">
        <f t="shared" si="3"/>
        <v>97885</v>
      </c>
      <c r="W54" s="59">
        <f t="shared" si="4"/>
        <v>86588.5</v>
      </c>
      <c r="X54" s="60">
        <f t="shared" si="5"/>
        <v>102.71002710027099</v>
      </c>
      <c r="Y54" s="65">
        <v>53</v>
      </c>
      <c r="Z54" s="65" t="str">
        <f>_xlfn.IFERROR(INDEX('Tabela PW'!$C:$F,'Słownik PW'!C54,1),"")</f>
        <v/>
      </c>
      <c r="AA54" s="65" t="str">
        <f>_xlfn.IFERROR(INDEX('Tabela PW'!$C:$F,'Słownik PW'!C54,4),"")</f>
        <v/>
      </c>
      <c r="AB54" s="65" t="str">
        <f t="shared" si="10"/>
        <v/>
      </c>
      <c r="AC54" s="65" t="str">
        <f>_xlfn.IFERROR(INDEX('Tabela PW'!$K:$K,'Słownik PW'!C54,1),"")</f>
        <v/>
      </c>
      <c r="AD54" s="65" t="str">
        <f>_xlfn.IFERROR(INDEX('Tabela PW'!$L:$L,'Słownik PW'!C54,1),"")</f>
        <v/>
      </c>
      <c r="AE54" s="65" t="str">
        <f>_xlfn.IFERROR(INDEX('Tabela PW'!$M:$M,'Słownik PW'!C54,1),"")</f>
        <v/>
      </c>
      <c r="AF54" s="65" t="str">
        <f>_xlfn.IFERROR(INDEX('Tabela PW'!$N:$N,'Słownik PW'!C54,1),"")</f>
        <v/>
      </c>
      <c r="AG54" s="65" t="str">
        <f>_xlfn.IFERROR(INDEX('Tabela PW'!$O:$O,'Słownik PW'!C54,1),"")</f>
        <v/>
      </c>
      <c r="AH54" s="65" t="str">
        <f>_xlfn.IFERROR(INDEX('Tabela PW'!$P:$P,'Słownik PW'!C54,1),"")</f>
        <v/>
      </c>
      <c r="AI54" s="65" t="str">
        <f>_xlfn.IFERROR(INDEX('Tabela PW'!$Q:$Q,'Słownik PW'!C54,1),"")</f>
        <v/>
      </c>
      <c r="AJ54" s="65" t="str">
        <f>_xlfn.IFERROR(INDEX('Tabela PW'!$R:$R,'Słownik PW'!C54,1),"")</f>
        <v/>
      </c>
      <c r="AK54" s="65" t="str">
        <f>_xlfn.IFERROR(INDEX('Tabela PW'!$S:$S,'Słownik PW'!C54,1),"")</f>
        <v/>
      </c>
      <c r="AL54" s="65" t="str">
        <f>_xlfn.IFERROR(INDEX('Tabela PW'!$T:$T,'Słownik PW'!C54,1),"")</f>
        <v/>
      </c>
      <c r="AM54" s="65" t="str">
        <f>_xlfn.IFERROR(INDEX('Tabela PW'!$U:$X,'Słownik PW'!C54,1),"")</f>
        <v/>
      </c>
      <c r="AN54" s="65" t="str">
        <f>_xlfn.IFERROR(INDEX('Tabela PW'!$U:$X,'Słownik PW'!C54,2),"")</f>
        <v/>
      </c>
      <c r="AO54" s="66" t="str">
        <f>_xlfn.IFERROR(INDEX('Tabela PW'!$U:$X,'Słownik PW'!C54,3),"")</f>
        <v/>
      </c>
      <c r="AP54" s="67" t="str">
        <f>_xlfn.IFERROR(INDEX('Tabela PW'!$U:$X,'Słownik PW'!C54,4),"")</f>
        <v/>
      </c>
      <c r="AQ54" s="66" t="str">
        <f>_xlfn.IFERROR(INDEX('Tabela PW'!$U:$X,'Słownik PW'!C54,5),"")</f>
        <v/>
      </c>
      <c r="AR54" s="67" t="str">
        <f>_xlfn.IFERROR(INDEX('Tabela PW'!$U:$X,'Słownik PW'!C54,6),"")</f>
        <v/>
      </c>
      <c r="AS54" s="67" t="str">
        <f>_xlfn.IFERROR(INDEX('Tabela PW'!$U:$X,'Słownik PW'!C54,7),"")</f>
        <v/>
      </c>
      <c r="AT54" s="65"/>
      <c r="AU54" s="65"/>
      <c r="AV54" s="65"/>
      <c r="AW54" s="65"/>
      <c r="AX54" s="65"/>
      <c r="AY54" s="65"/>
      <c r="AZ54" s="65"/>
      <c r="BA54" s="65"/>
      <c r="BB54" s="65"/>
      <c r="BC54" s="65"/>
      <c r="BD54" s="65"/>
      <c r="BE54" s="65"/>
      <c r="BF54" s="65"/>
      <c r="BG54" s="65"/>
      <c r="BH54" s="68"/>
      <c r="BI54" s="65"/>
    </row>
    <row r="55" spans="1:61" ht="15">
      <c r="A55" s="4" t="s">
        <v>67</v>
      </c>
      <c r="B55" s="5" t="s">
        <v>671</v>
      </c>
      <c r="C55" s="49" t="s">
        <v>7</v>
      </c>
      <c r="D55" s="349">
        <f t="shared" si="0"/>
        <v>14</v>
      </c>
      <c r="E55" s="350" t="s">
        <v>760</v>
      </c>
      <c r="F55" s="51" t="s">
        <v>25</v>
      </c>
      <c r="G55" s="351" t="s">
        <v>683</v>
      </c>
      <c r="H55" s="351" t="s">
        <v>1486</v>
      </c>
      <c r="I55" s="351" t="s">
        <v>1487</v>
      </c>
      <c r="J55" s="351" t="s">
        <v>3753</v>
      </c>
      <c r="K55" s="354">
        <v>49976</v>
      </c>
      <c r="L55" s="355">
        <v>53089</v>
      </c>
      <c r="M55" s="354">
        <v>49823</v>
      </c>
      <c r="N55" s="355">
        <v>51504</v>
      </c>
      <c r="O55" s="355">
        <v>51068</v>
      </c>
      <c r="P55" s="355">
        <v>56952</v>
      </c>
      <c r="Q55" s="355">
        <v>62816</v>
      </c>
      <c r="R55" s="355">
        <v>63879</v>
      </c>
      <c r="S55" s="355">
        <v>69010</v>
      </c>
      <c r="T55" s="355">
        <v>67362</v>
      </c>
      <c r="U55" s="59">
        <f t="shared" si="2"/>
        <v>49823</v>
      </c>
      <c r="V55" s="59">
        <f t="shared" si="3"/>
        <v>69010</v>
      </c>
      <c r="W55" s="59">
        <f t="shared" si="4"/>
        <v>57547.9</v>
      </c>
      <c r="X55" s="60">
        <f t="shared" si="5"/>
        <v>134.78869857531615</v>
      </c>
      <c r="Y55" s="65">
        <v>54</v>
      </c>
      <c r="Z55" s="65" t="str">
        <f>_xlfn.IFERROR(INDEX('Tabela PW'!$C:$F,'Słownik PW'!C55,1),"")</f>
        <v/>
      </c>
      <c r="AA55" s="65" t="str">
        <f>_xlfn.IFERROR(INDEX('Tabela PW'!$C:$F,'Słownik PW'!C55,4),"")</f>
        <v/>
      </c>
      <c r="AB55" s="65" t="str">
        <f t="shared" si="10"/>
        <v/>
      </c>
      <c r="AC55" s="65" t="str">
        <f>_xlfn.IFERROR(INDEX('Tabela PW'!$K:$K,'Słownik PW'!C55,1),"")</f>
        <v/>
      </c>
      <c r="AD55" s="65" t="str">
        <f>_xlfn.IFERROR(INDEX('Tabela PW'!$L:$L,'Słownik PW'!C55,1),"")</f>
        <v/>
      </c>
      <c r="AE55" s="65" t="str">
        <f>_xlfn.IFERROR(INDEX('Tabela PW'!$M:$M,'Słownik PW'!C55,1),"")</f>
        <v/>
      </c>
      <c r="AF55" s="65" t="str">
        <f>_xlfn.IFERROR(INDEX('Tabela PW'!$N:$N,'Słownik PW'!C55,1),"")</f>
        <v/>
      </c>
      <c r="AG55" s="65" t="str">
        <f>_xlfn.IFERROR(INDEX('Tabela PW'!$O:$O,'Słownik PW'!C55,1),"")</f>
        <v/>
      </c>
      <c r="AH55" s="65" t="str">
        <f>_xlfn.IFERROR(INDEX('Tabela PW'!$P:$P,'Słownik PW'!C55,1),"")</f>
        <v/>
      </c>
      <c r="AI55" s="65" t="str">
        <f>_xlfn.IFERROR(INDEX('Tabela PW'!$Q:$Q,'Słownik PW'!C55,1),"")</f>
        <v/>
      </c>
      <c r="AJ55" s="65" t="str">
        <f>_xlfn.IFERROR(INDEX('Tabela PW'!$R:$R,'Słownik PW'!C55,1),"")</f>
        <v/>
      </c>
      <c r="AK55" s="65" t="str">
        <f>_xlfn.IFERROR(INDEX('Tabela PW'!$S:$S,'Słownik PW'!C55,1),"")</f>
        <v/>
      </c>
      <c r="AL55" s="65" t="str">
        <f>_xlfn.IFERROR(INDEX('Tabela PW'!$T:$T,'Słownik PW'!C55,1),"")</f>
        <v/>
      </c>
      <c r="AM55" s="65" t="str">
        <f>_xlfn.IFERROR(INDEX('Tabela PW'!$U:$X,'Słownik PW'!C55,1),"")</f>
        <v/>
      </c>
      <c r="AN55" s="65" t="str">
        <f>_xlfn.IFERROR(INDEX('Tabela PW'!$U:$X,'Słownik PW'!C55,2),"")</f>
        <v/>
      </c>
      <c r="AO55" s="66" t="str">
        <f>_xlfn.IFERROR(INDEX('Tabela PW'!$U:$X,'Słownik PW'!C55,3),"")</f>
        <v/>
      </c>
      <c r="AP55" s="67" t="str">
        <f>_xlfn.IFERROR(INDEX('Tabela PW'!$U:$X,'Słownik PW'!C55,4),"")</f>
        <v/>
      </c>
      <c r="AQ55" s="66" t="str">
        <f>_xlfn.IFERROR(INDEX('Tabela PW'!$U:$X,'Słownik PW'!C55,5),"")</f>
        <v/>
      </c>
      <c r="AR55" s="67" t="str">
        <f>_xlfn.IFERROR(INDEX('Tabela PW'!$U:$X,'Słownik PW'!C55,6),"")</f>
        <v/>
      </c>
      <c r="AS55" s="67" t="str">
        <f>_xlfn.IFERROR(INDEX('Tabela PW'!$U:$X,'Słownik PW'!C55,7),"")</f>
        <v/>
      </c>
      <c r="AT55" s="65"/>
      <c r="AU55" s="65"/>
      <c r="AV55" s="65"/>
      <c r="AW55" s="65"/>
      <c r="AX55" s="65"/>
      <c r="AY55" s="65"/>
      <c r="AZ55" s="65"/>
      <c r="BA55" s="65"/>
      <c r="BB55" s="65"/>
      <c r="BC55" s="65"/>
      <c r="BD55" s="65"/>
      <c r="BE55" s="65"/>
      <c r="BF55" s="65"/>
      <c r="BG55" s="65"/>
      <c r="BH55" s="68"/>
      <c r="BI55" s="65"/>
    </row>
    <row r="56" spans="1:61" ht="15">
      <c r="A56" s="4" t="s">
        <v>67</v>
      </c>
      <c r="B56" s="5" t="s">
        <v>671</v>
      </c>
      <c r="C56" s="49" t="s">
        <v>8</v>
      </c>
      <c r="D56" s="349">
        <f t="shared" si="0"/>
        <v>6</v>
      </c>
      <c r="E56" s="350" t="s">
        <v>761</v>
      </c>
      <c r="F56" s="51" t="s">
        <v>25</v>
      </c>
      <c r="G56" s="351" t="s">
        <v>683</v>
      </c>
      <c r="H56" s="351" t="s">
        <v>1488</v>
      </c>
      <c r="I56" s="351" t="s">
        <v>1489</v>
      </c>
      <c r="J56" s="351" t="s">
        <v>3754</v>
      </c>
      <c r="K56" s="354">
        <v>178362</v>
      </c>
      <c r="L56" s="355">
        <v>173481</v>
      </c>
      <c r="M56" s="354">
        <v>208959</v>
      </c>
      <c r="N56" s="355">
        <v>204451</v>
      </c>
      <c r="O56" s="355">
        <v>220456</v>
      </c>
      <c r="P56" s="355">
        <v>221076</v>
      </c>
      <c r="Q56" s="355">
        <v>222222</v>
      </c>
      <c r="R56" s="355">
        <v>231665</v>
      </c>
      <c r="S56" s="355">
        <v>227205</v>
      </c>
      <c r="T56" s="355">
        <v>217434</v>
      </c>
      <c r="U56" s="59">
        <f t="shared" si="2"/>
        <v>173481</v>
      </c>
      <c r="V56" s="59">
        <f t="shared" si="3"/>
        <v>231665</v>
      </c>
      <c r="W56" s="59">
        <f t="shared" si="4"/>
        <v>210531.1</v>
      </c>
      <c r="X56" s="60">
        <f t="shared" si="5"/>
        <v>121.9060113701349</v>
      </c>
      <c r="Y56" s="65">
        <v>55</v>
      </c>
      <c r="Z56" s="65" t="str">
        <f>_xlfn.IFERROR(INDEX('Tabela PW'!$C:$F,'Słownik PW'!C56,1),"")</f>
        <v/>
      </c>
      <c r="AA56" s="65" t="str">
        <f>_xlfn.IFERROR(INDEX('Tabela PW'!$C:$F,'Słownik PW'!C56,4),"")</f>
        <v/>
      </c>
      <c r="AB56" s="65" t="str">
        <f t="shared" si="10"/>
        <v/>
      </c>
      <c r="AC56" s="65" t="str">
        <f>_xlfn.IFERROR(INDEX('Tabela PW'!$K:$K,'Słownik PW'!C56,1),"")</f>
        <v/>
      </c>
      <c r="AD56" s="65" t="str">
        <f>_xlfn.IFERROR(INDEX('Tabela PW'!$L:$L,'Słownik PW'!C56,1),"")</f>
        <v/>
      </c>
      <c r="AE56" s="65" t="str">
        <f>_xlfn.IFERROR(INDEX('Tabela PW'!$M:$M,'Słownik PW'!C56,1),"")</f>
        <v/>
      </c>
      <c r="AF56" s="65" t="str">
        <f>_xlfn.IFERROR(INDEX('Tabela PW'!$N:$N,'Słownik PW'!C56,1),"")</f>
        <v/>
      </c>
      <c r="AG56" s="65" t="str">
        <f>_xlfn.IFERROR(INDEX('Tabela PW'!$O:$O,'Słownik PW'!C56,1),"")</f>
        <v/>
      </c>
      <c r="AH56" s="65" t="str">
        <f>_xlfn.IFERROR(INDEX('Tabela PW'!$P:$P,'Słownik PW'!C56,1),"")</f>
        <v/>
      </c>
      <c r="AI56" s="65" t="str">
        <f>_xlfn.IFERROR(INDEX('Tabela PW'!$Q:$Q,'Słownik PW'!C56,1),"")</f>
        <v/>
      </c>
      <c r="AJ56" s="65" t="str">
        <f>_xlfn.IFERROR(INDEX('Tabela PW'!$R:$R,'Słownik PW'!C56,1),"")</f>
        <v/>
      </c>
      <c r="AK56" s="65" t="str">
        <f>_xlfn.IFERROR(INDEX('Tabela PW'!$S:$S,'Słownik PW'!C56,1),"")</f>
        <v/>
      </c>
      <c r="AL56" s="65" t="str">
        <f>_xlfn.IFERROR(INDEX('Tabela PW'!$T:$T,'Słownik PW'!C56,1),"")</f>
        <v/>
      </c>
      <c r="AM56" s="65" t="str">
        <f>_xlfn.IFERROR(INDEX('Tabela PW'!$U:$X,'Słownik PW'!C56,1),"")</f>
        <v/>
      </c>
      <c r="AN56" s="65" t="str">
        <f>_xlfn.IFERROR(INDEX('Tabela PW'!$U:$X,'Słownik PW'!C56,2),"")</f>
        <v/>
      </c>
      <c r="AO56" s="66" t="str">
        <f>_xlfn.IFERROR(INDEX('Tabela PW'!$U:$X,'Słownik PW'!C56,3),"")</f>
        <v/>
      </c>
      <c r="AP56" s="67" t="str">
        <f>_xlfn.IFERROR(INDEX('Tabela PW'!$U:$X,'Słownik PW'!C56,4),"")</f>
        <v/>
      </c>
      <c r="AQ56" s="66" t="str">
        <f>_xlfn.IFERROR(INDEX('Tabela PW'!$U:$X,'Słownik PW'!C56,5),"")</f>
        <v/>
      </c>
      <c r="AR56" s="67" t="str">
        <f>_xlfn.IFERROR(INDEX('Tabela PW'!$U:$X,'Słownik PW'!C56,6),"")</f>
        <v/>
      </c>
      <c r="AS56" s="67" t="str">
        <f>_xlfn.IFERROR(INDEX('Tabela PW'!$U:$X,'Słownik PW'!C56,7),"")</f>
        <v/>
      </c>
      <c r="AT56" s="65"/>
      <c r="AU56" s="65"/>
      <c r="AV56" s="65"/>
      <c r="AW56" s="65"/>
      <c r="AX56" s="65"/>
      <c r="AY56" s="65"/>
      <c r="AZ56" s="65"/>
      <c r="BA56" s="65"/>
      <c r="BB56" s="65"/>
      <c r="BC56" s="65"/>
      <c r="BD56" s="65"/>
      <c r="BE56" s="65"/>
      <c r="BF56" s="65"/>
      <c r="BG56" s="65"/>
      <c r="BH56" s="68"/>
      <c r="BI56" s="65"/>
    </row>
    <row r="57" spans="1:61" ht="15">
      <c r="A57" s="4" t="s">
        <v>67</v>
      </c>
      <c r="B57" s="5" t="s">
        <v>671</v>
      </c>
      <c r="C57" s="49" t="s">
        <v>9</v>
      </c>
      <c r="D57" s="349">
        <f t="shared" si="0"/>
        <v>6</v>
      </c>
      <c r="E57" s="350" t="s">
        <v>762</v>
      </c>
      <c r="F57" s="51" t="s">
        <v>25</v>
      </c>
      <c r="G57" s="351" t="s">
        <v>683</v>
      </c>
      <c r="H57" s="351" t="s">
        <v>1490</v>
      </c>
      <c r="I57" s="351" t="s">
        <v>1491</v>
      </c>
      <c r="J57" s="351" t="s">
        <v>3755</v>
      </c>
      <c r="K57" s="354">
        <v>67795</v>
      </c>
      <c r="L57" s="355">
        <v>66455</v>
      </c>
      <c r="M57" s="354">
        <v>77549</v>
      </c>
      <c r="N57" s="355">
        <v>77322</v>
      </c>
      <c r="O57" s="355">
        <v>86163</v>
      </c>
      <c r="P57" s="355">
        <v>116345</v>
      </c>
      <c r="Q57" s="355">
        <v>133466</v>
      </c>
      <c r="R57" s="355">
        <v>147868</v>
      </c>
      <c r="S57" s="355">
        <v>113093</v>
      </c>
      <c r="T57" s="355">
        <v>117394</v>
      </c>
      <c r="U57" s="59">
        <f t="shared" si="2"/>
        <v>66455</v>
      </c>
      <c r="V57" s="59">
        <f t="shared" si="3"/>
        <v>147868</v>
      </c>
      <c r="W57" s="59">
        <f t="shared" si="4"/>
        <v>100345</v>
      </c>
      <c r="X57" s="60">
        <f t="shared" si="5"/>
        <v>173.16026255623572</v>
      </c>
      <c r="Y57" s="65">
        <v>56</v>
      </c>
      <c r="Z57" s="65" t="str">
        <f>_xlfn.IFERROR(INDEX('Tabela PW'!$C:$F,'Słownik PW'!C57,1),"")</f>
        <v/>
      </c>
      <c r="AA57" s="65" t="str">
        <f>_xlfn.IFERROR(INDEX('Tabela PW'!$C:$F,'Słownik PW'!C57,4),"")</f>
        <v/>
      </c>
      <c r="AB57" s="65" t="str">
        <f t="shared" si="10"/>
        <v/>
      </c>
      <c r="AC57" s="65" t="str">
        <f>_xlfn.IFERROR(INDEX('Tabela PW'!$K:$K,'Słownik PW'!C57,1),"")</f>
        <v/>
      </c>
      <c r="AD57" s="65" t="str">
        <f>_xlfn.IFERROR(INDEX('Tabela PW'!$L:$L,'Słownik PW'!C57,1),"")</f>
        <v/>
      </c>
      <c r="AE57" s="65" t="str">
        <f>_xlfn.IFERROR(INDEX('Tabela PW'!$M:$M,'Słownik PW'!C57,1),"")</f>
        <v/>
      </c>
      <c r="AF57" s="65" t="str">
        <f>_xlfn.IFERROR(INDEX('Tabela PW'!$N:$N,'Słownik PW'!C57,1),"")</f>
        <v/>
      </c>
      <c r="AG57" s="65" t="str">
        <f>_xlfn.IFERROR(INDEX('Tabela PW'!$O:$O,'Słownik PW'!C57,1),"")</f>
        <v/>
      </c>
      <c r="AH57" s="65" t="str">
        <f>_xlfn.IFERROR(INDEX('Tabela PW'!$P:$P,'Słownik PW'!C57,1),"")</f>
        <v/>
      </c>
      <c r="AI57" s="65" t="str">
        <f>_xlfn.IFERROR(INDEX('Tabela PW'!$Q:$Q,'Słownik PW'!C57,1),"")</f>
        <v/>
      </c>
      <c r="AJ57" s="65" t="str">
        <f>_xlfn.IFERROR(INDEX('Tabela PW'!$R:$R,'Słownik PW'!C57,1),"")</f>
        <v/>
      </c>
      <c r="AK57" s="65" t="str">
        <f>_xlfn.IFERROR(INDEX('Tabela PW'!$S:$S,'Słownik PW'!C57,1),"")</f>
        <v/>
      </c>
      <c r="AL57" s="65" t="str">
        <f>_xlfn.IFERROR(INDEX('Tabela PW'!$T:$T,'Słownik PW'!C57,1),"")</f>
        <v/>
      </c>
      <c r="AM57" s="65" t="str">
        <f>_xlfn.IFERROR(INDEX('Tabela PW'!$U:$X,'Słownik PW'!C57,1),"")</f>
        <v/>
      </c>
      <c r="AN57" s="65" t="str">
        <f>_xlfn.IFERROR(INDEX('Tabela PW'!$U:$X,'Słownik PW'!C57,2),"")</f>
        <v/>
      </c>
      <c r="AO57" s="66" t="str">
        <f>_xlfn.IFERROR(INDEX('Tabela PW'!$U:$X,'Słownik PW'!C57,3),"")</f>
        <v/>
      </c>
      <c r="AP57" s="67" t="str">
        <f>_xlfn.IFERROR(INDEX('Tabela PW'!$U:$X,'Słownik PW'!C57,4),"")</f>
        <v/>
      </c>
      <c r="AQ57" s="66" t="str">
        <f>_xlfn.IFERROR(INDEX('Tabela PW'!$U:$X,'Słownik PW'!C57,5),"")</f>
        <v/>
      </c>
      <c r="AR57" s="67" t="str">
        <f>_xlfn.IFERROR(INDEX('Tabela PW'!$U:$X,'Słownik PW'!C57,6),"")</f>
        <v/>
      </c>
      <c r="AS57" s="67" t="str">
        <f>_xlfn.IFERROR(INDEX('Tabela PW'!$U:$X,'Słownik PW'!C57,7),"")</f>
        <v/>
      </c>
      <c r="AT57" s="65"/>
      <c r="AU57" s="65"/>
      <c r="AV57" s="65"/>
      <c r="AW57" s="65"/>
      <c r="AX57" s="65"/>
      <c r="AY57" s="65"/>
      <c r="AZ57" s="65"/>
      <c r="BA57" s="65"/>
      <c r="BB57" s="65"/>
      <c r="BC57" s="65"/>
      <c r="BD57" s="65"/>
      <c r="BE57" s="65"/>
      <c r="BF57" s="65"/>
      <c r="BG57" s="65"/>
      <c r="BH57" s="68"/>
      <c r="BI57" s="65"/>
    </row>
    <row r="58" spans="1:61" ht="15">
      <c r="A58" s="4" t="s">
        <v>67</v>
      </c>
      <c r="B58" s="5" t="s">
        <v>671</v>
      </c>
      <c r="C58" s="49" t="s">
        <v>73</v>
      </c>
      <c r="D58" s="349">
        <f t="shared" si="0"/>
        <v>22</v>
      </c>
      <c r="E58" s="350" t="s">
        <v>763</v>
      </c>
      <c r="F58" s="51" t="s">
        <v>74</v>
      </c>
      <c r="G58" s="351" t="s">
        <v>671</v>
      </c>
      <c r="H58" s="351" t="s">
        <v>1492</v>
      </c>
      <c r="I58" s="351" t="s">
        <v>1493</v>
      </c>
      <c r="J58" s="351" t="s">
        <v>3756</v>
      </c>
      <c r="K58" s="354">
        <v>7342073</v>
      </c>
      <c r="L58" s="355">
        <v>6935303</v>
      </c>
      <c r="M58" s="354">
        <v>7565032</v>
      </c>
      <c r="N58" s="355">
        <v>8058505</v>
      </c>
      <c r="O58" s="355">
        <v>8900633</v>
      </c>
      <c r="P58" s="355">
        <v>9452599</v>
      </c>
      <c r="Q58" s="355">
        <v>9708332</v>
      </c>
      <c r="R58" s="355">
        <v>9022095</v>
      </c>
      <c r="S58" s="355">
        <v>11401649</v>
      </c>
      <c r="T58" s="355">
        <v>11614392</v>
      </c>
      <c r="U58" s="59">
        <f t="shared" si="2"/>
        <v>6935303</v>
      </c>
      <c r="V58" s="59">
        <f t="shared" si="3"/>
        <v>11614392</v>
      </c>
      <c r="W58" s="59">
        <f t="shared" si="4"/>
        <v>9000061.3</v>
      </c>
      <c r="X58" s="60">
        <f t="shared" si="5"/>
        <v>158.18954673972868</v>
      </c>
      <c r="Y58" s="65">
        <v>57</v>
      </c>
      <c r="Z58" s="65" t="str">
        <f>_xlfn.IFERROR(INDEX('Tabela PW'!$C:$F,'Słownik PW'!C58,1),"")</f>
        <v/>
      </c>
      <c r="AA58" s="65" t="str">
        <f>_xlfn.IFERROR(INDEX('Tabela PW'!$C:$F,'Słownik PW'!C58,4),"")</f>
        <v/>
      </c>
      <c r="AB58" s="65" t="str">
        <f t="shared" si="10"/>
        <v/>
      </c>
      <c r="AC58" s="65" t="str">
        <f>_xlfn.IFERROR(INDEX('Tabela PW'!$K:$K,'Słownik PW'!C58,1),"")</f>
        <v/>
      </c>
      <c r="AD58" s="65" t="str">
        <f>_xlfn.IFERROR(INDEX('Tabela PW'!$L:$L,'Słownik PW'!C58,1),"")</f>
        <v/>
      </c>
      <c r="AE58" s="65" t="str">
        <f>_xlfn.IFERROR(INDEX('Tabela PW'!$M:$M,'Słownik PW'!C58,1),"")</f>
        <v/>
      </c>
      <c r="AF58" s="65" t="str">
        <f>_xlfn.IFERROR(INDEX('Tabela PW'!$N:$N,'Słownik PW'!C58,1),"")</f>
        <v/>
      </c>
      <c r="AG58" s="65" t="str">
        <f>_xlfn.IFERROR(INDEX('Tabela PW'!$O:$O,'Słownik PW'!C58,1),"")</f>
        <v/>
      </c>
      <c r="AH58" s="65" t="str">
        <f>_xlfn.IFERROR(INDEX('Tabela PW'!$P:$P,'Słownik PW'!C58,1),"")</f>
        <v/>
      </c>
      <c r="AI58" s="65" t="str">
        <f>_xlfn.IFERROR(INDEX('Tabela PW'!$Q:$Q,'Słownik PW'!C58,1),"")</f>
        <v/>
      </c>
      <c r="AJ58" s="65" t="str">
        <f>_xlfn.IFERROR(INDEX('Tabela PW'!$R:$R,'Słownik PW'!C58,1),"")</f>
        <v/>
      </c>
      <c r="AK58" s="65" t="str">
        <f>_xlfn.IFERROR(INDEX('Tabela PW'!$S:$S,'Słownik PW'!C58,1),"")</f>
        <v/>
      </c>
      <c r="AL58" s="65" t="str">
        <f>_xlfn.IFERROR(INDEX('Tabela PW'!$T:$T,'Słownik PW'!C58,1),"")</f>
        <v/>
      </c>
      <c r="AM58" s="65" t="str">
        <f>_xlfn.IFERROR(INDEX('Tabela PW'!$U:$X,'Słownik PW'!C58,1),"")</f>
        <v/>
      </c>
      <c r="AN58" s="65" t="str">
        <f>_xlfn.IFERROR(INDEX('Tabela PW'!$U:$X,'Słownik PW'!C58,2),"")</f>
        <v/>
      </c>
      <c r="AO58" s="66" t="str">
        <f>_xlfn.IFERROR(INDEX('Tabela PW'!$U:$X,'Słownik PW'!C58,3),"")</f>
        <v/>
      </c>
      <c r="AP58" s="67" t="str">
        <f>_xlfn.IFERROR(INDEX('Tabela PW'!$U:$X,'Słownik PW'!C58,4),"")</f>
        <v/>
      </c>
      <c r="AQ58" s="66" t="str">
        <f>_xlfn.IFERROR(INDEX('Tabela PW'!$U:$X,'Słownik PW'!C58,5),"")</f>
        <v/>
      </c>
      <c r="AR58" s="67" t="str">
        <f>_xlfn.IFERROR(INDEX('Tabela PW'!$U:$X,'Słownik PW'!C58,6),"")</f>
        <v/>
      </c>
      <c r="AS58" s="67" t="str">
        <f>_xlfn.IFERROR(INDEX('Tabela PW'!$U:$X,'Słownik PW'!C58,7),"")</f>
        <v/>
      </c>
      <c r="AT58" s="65"/>
      <c r="AU58" s="65"/>
      <c r="AV58" s="65"/>
      <c r="AW58" s="65"/>
      <c r="AX58" s="65"/>
      <c r="AY58" s="65"/>
      <c r="AZ58" s="65"/>
      <c r="BA58" s="65"/>
      <c r="BB58" s="65"/>
      <c r="BC58" s="65"/>
      <c r="BD58" s="65"/>
      <c r="BE58" s="65"/>
      <c r="BF58" s="65"/>
      <c r="BG58" s="65"/>
      <c r="BH58" s="68"/>
      <c r="BI58" s="65"/>
    </row>
    <row r="59" spans="1:61" ht="15">
      <c r="A59" s="4" t="s">
        <v>67</v>
      </c>
      <c r="B59" s="5" t="s">
        <v>671</v>
      </c>
      <c r="C59" s="49" t="s">
        <v>73</v>
      </c>
      <c r="D59" s="349">
        <f t="shared" si="0"/>
        <v>22</v>
      </c>
      <c r="E59" s="350" t="s">
        <v>764</v>
      </c>
      <c r="F59" s="51" t="s">
        <v>25</v>
      </c>
      <c r="G59" s="351" t="s">
        <v>683</v>
      </c>
      <c r="H59" s="351" t="s">
        <v>1494</v>
      </c>
      <c r="I59" s="351" t="s">
        <v>1495</v>
      </c>
      <c r="J59" s="351" t="s">
        <v>3757</v>
      </c>
      <c r="K59" s="354">
        <v>788136</v>
      </c>
      <c r="L59" s="355">
        <v>752159</v>
      </c>
      <c r="M59" s="354">
        <v>852969</v>
      </c>
      <c r="N59" s="355">
        <v>895536</v>
      </c>
      <c r="O59" s="355">
        <v>987349</v>
      </c>
      <c r="P59" s="355">
        <v>1063508</v>
      </c>
      <c r="Q59" s="355">
        <v>1087409</v>
      </c>
      <c r="R59" s="355">
        <v>983206</v>
      </c>
      <c r="S59" s="355">
        <v>1278877</v>
      </c>
      <c r="T59" s="355">
        <v>1282744</v>
      </c>
      <c r="U59" s="59">
        <f t="shared" si="2"/>
        <v>752159</v>
      </c>
      <c r="V59" s="59">
        <f t="shared" si="3"/>
        <v>1282744</v>
      </c>
      <c r="W59" s="59">
        <f t="shared" si="4"/>
        <v>997189.3</v>
      </c>
      <c r="X59" s="60">
        <f t="shared" si="5"/>
        <v>162.7566815879493</v>
      </c>
      <c r="Y59" s="65">
        <v>58</v>
      </c>
      <c r="Z59" s="65" t="str">
        <f>_xlfn.IFERROR(INDEX('Tabela PW'!$C:$F,'Słownik PW'!C59,1),"")</f>
        <v/>
      </c>
      <c r="AA59" s="65" t="str">
        <f>_xlfn.IFERROR(INDEX('Tabela PW'!$C:$F,'Słownik PW'!C59,4),"")</f>
        <v/>
      </c>
      <c r="AB59" s="65" t="str">
        <f t="shared" si="10"/>
        <v/>
      </c>
      <c r="AC59" s="65" t="str">
        <f>_xlfn.IFERROR(INDEX('Tabela PW'!$K:$K,'Słownik PW'!C59,1),"")</f>
        <v/>
      </c>
      <c r="AD59" s="65" t="str">
        <f>_xlfn.IFERROR(INDEX('Tabela PW'!$L:$L,'Słownik PW'!C59,1),"")</f>
        <v/>
      </c>
      <c r="AE59" s="65" t="str">
        <f>_xlfn.IFERROR(INDEX('Tabela PW'!$M:$M,'Słownik PW'!C59,1),"")</f>
        <v/>
      </c>
      <c r="AF59" s="65" t="str">
        <f>_xlfn.IFERROR(INDEX('Tabela PW'!$N:$N,'Słownik PW'!C59,1),"")</f>
        <v/>
      </c>
      <c r="AG59" s="65" t="str">
        <f>_xlfn.IFERROR(INDEX('Tabela PW'!$O:$O,'Słownik PW'!C59,1),"")</f>
        <v/>
      </c>
      <c r="AH59" s="65" t="str">
        <f>_xlfn.IFERROR(INDEX('Tabela PW'!$P:$P,'Słownik PW'!C59,1),"")</f>
        <v/>
      </c>
      <c r="AI59" s="65" t="str">
        <f>_xlfn.IFERROR(INDEX('Tabela PW'!$Q:$Q,'Słownik PW'!C59,1),"")</f>
        <v/>
      </c>
      <c r="AJ59" s="65" t="str">
        <f>_xlfn.IFERROR(INDEX('Tabela PW'!$R:$R,'Słownik PW'!C59,1),"")</f>
        <v/>
      </c>
      <c r="AK59" s="65" t="str">
        <f>_xlfn.IFERROR(INDEX('Tabela PW'!$S:$S,'Słownik PW'!C59,1),"")</f>
        <v/>
      </c>
      <c r="AL59" s="65" t="str">
        <f>_xlfn.IFERROR(INDEX('Tabela PW'!$T:$T,'Słownik PW'!C59,1),"")</f>
        <v/>
      </c>
      <c r="AM59" s="65" t="str">
        <f>_xlfn.IFERROR(INDEX('Tabela PW'!$U:$X,'Słownik PW'!C59,1),"")</f>
        <v/>
      </c>
      <c r="AN59" s="65" t="str">
        <f>_xlfn.IFERROR(INDEX('Tabela PW'!$U:$X,'Słownik PW'!C59,2),"")</f>
        <v/>
      </c>
      <c r="AO59" s="66" t="str">
        <f>_xlfn.IFERROR(INDEX('Tabela PW'!$U:$X,'Słownik PW'!C59,3),"")</f>
        <v/>
      </c>
      <c r="AP59" s="67" t="str">
        <f>_xlfn.IFERROR(INDEX('Tabela PW'!$U:$X,'Słownik PW'!C59,4),"")</f>
        <v/>
      </c>
      <c r="AQ59" s="66" t="str">
        <f>_xlfn.IFERROR(INDEX('Tabela PW'!$U:$X,'Słownik PW'!C59,5),"")</f>
        <v/>
      </c>
      <c r="AR59" s="67" t="str">
        <f>_xlfn.IFERROR(INDEX('Tabela PW'!$U:$X,'Słownik PW'!C59,6),"")</f>
        <v/>
      </c>
      <c r="AS59" s="67" t="str">
        <f>_xlfn.IFERROR(INDEX('Tabela PW'!$U:$X,'Słownik PW'!C59,7),"")</f>
        <v/>
      </c>
      <c r="AT59" s="65"/>
      <c r="AU59" s="65"/>
      <c r="AV59" s="65"/>
      <c r="AW59" s="65"/>
      <c r="AX59" s="65"/>
      <c r="AY59" s="65"/>
      <c r="AZ59" s="65"/>
      <c r="BA59" s="65"/>
      <c r="BB59" s="65"/>
      <c r="BC59" s="65"/>
      <c r="BD59" s="65"/>
      <c r="BE59" s="65"/>
      <c r="BF59" s="65"/>
      <c r="BG59" s="65"/>
      <c r="BH59" s="68"/>
      <c r="BI59" s="65"/>
    </row>
    <row r="60" spans="1:61" ht="15">
      <c r="A60" s="4" t="s">
        <v>67</v>
      </c>
      <c r="B60" s="5" t="s">
        <v>671</v>
      </c>
      <c r="C60" s="49" t="s">
        <v>75</v>
      </c>
      <c r="D60" s="349">
        <f t="shared" si="0"/>
        <v>14</v>
      </c>
      <c r="E60" s="350" t="s">
        <v>765</v>
      </c>
      <c r="F60" s="51" t="s">
        <v>74</v>
      </c>
      <c r="G60" s="351" t="s">
        <v>671</v>
      </c>
      <c r="H60" s="351" t="s">
        <v>1496</v>
      </c>
      <c r="I60" s="351" t="s">
        <v>1497</v>
      </c>
      <c r="J60" s="351" t="s">
        <v>3758</v>
      </c>
      <c r="K60" s="354">
        <v>396302</v>
      </c>
      <c r="L60" s="355">
        <v>366217</v>
      </c>
      <c r="M60" s="354">
        <v>303242</v>
      </c>
      <c r="N60" s="355">
        <v>337836</v>
      </c>
      <c r="O60" s="355">
        <v>377874</v>
      </c>
      <c r="P60" s="355">
        <v>380439</v>
      </c>
      <c r="Q60" s="355">
        <v>330477</v>
      </c>
      <c r="R60" s="355">
        <v>411180</v>
      </c>
      <c r="S60" s="355">
        <v>435601</v>
      </c>
      <c r="T60" s="355">
        <v>477923</v>
      </c>
      <c r="U60" s="59">
        <f t="shared" si="2"/>
        <v>303242</v>
      </c>
      <c r="V60" s="59">
        <f t="shared" si="3"/>
        <v>477923</v>
      </c>
      <c r="W60" s="59">
        <f t="shared" si="4"/>
        <v>381709.1</v>
      </c>
      <c r="X60" s="60">
        <f t="shared" si="5"/>
        <v>120.59565684755565</v>
      </c>
      <c r="Y60" s="65">
        <v>59</v>
      </c>
      <c r="Z60" s="65" t="str">
        <f>_xlfn.IFERROR(INDEX('Tabela PW'!$C:$F,'Słownik PW'!C60,1),"")</f>
        <v/>
      </c>
      <c r="AA60" s="65" t="str">
        <f>_xlfn.IFERROR(INDEX('Tabela PW'!$C:$F,'Słownik PW'!C60,4),"")</f>
        <v/>
      </c>
      <c r="AB60" s="65" t="str">
        <f t="shared" si="10"/>
        <v/>
      </c>
      <c r="AC60" s="65" t="str">
        <f>_xlfn.IFERROR(INDEX('Tabela PW'!$K:$K,'Słownik PW'!C60,1),"")</f>
        <v/>
      </c>
      <c r="AD60" s="65" t="str">
        <f>_xlfn.IFERROR(INDEX('Tabela PW'!$L:$L,'Słownik PW'!C60,1),"")</f>
        <v/>
      </c>
      <c r="AE60" s="65" t="str">
        <f>_xlfn.IFERROR(INDEX('Tabela PW'!$M:$M,'Słownik PW'!C60,1),"")</f>
        <v/>
      </c>
      <c r="AF60" s="65" t="str">
        <f>_xlfn.IFERROR(INDEX('Tabela PW'!$N:$N,'Słownik PW'!C60,1),"")</f>
        <v/>
      </c>
      <c r="AG60" s="65" t="str">
        <f>_xlfn.IFERROR(INDEX('Tabela PW'!$O:$O,'Słownik PW'!C60,1),"")</f>
        <v/>
      </c>
      <c r="AH60" s="65" t="str">
        <f>_xlfn.IFERROR(INDEX('Tabela PW'!$P:$P,'Słownik PW'!C60,1),"")</f>
        <v/>
      </c>
      <c r="AI60" s="65" t="str">
        <f>_xlfn.IFERROR(INDEX('Tabela PW'!$Q:$Q,'Słownik PW'!C60,1),"")</f>
        <v/>
      </c>
      <c r="AJ60" s="65" t="str">
        <f>_xlfn.IFERROR(INDEX('Tabela PW'!$R:$R,'Słownik PW'!C60,1),"")</f>
        <v/>
      </c>
      <c r="AK60" s="65" t="str">
        <f>_xlfn.IFERROR(INDEX('Tabela PW'!$S:$S,'Słownik PW'!C60,1),"")</f>
        <v/>
      </c>
      <c r="AL60" s="65" t="str">
        <f>_xlfn.IFERROR(INDEX('Tabela PW'!$T:$T,'Słownik PW'!C60,1),"")</f>
        <v/>
      </c>
      <c r="AM60" s="65" t="str">
        <f>_xlfn.IFERROR(INDEX('Tabela PW'!$U:$X,'Słownik PW'!C60,1),"")</f>
        <v/>
      </c>
      <c r="AN60" s="65" t="str">
        <f>_xlfn.IFERROR(INDEX('Tabela PW'!$U:$X,'Słownik PW'!C60,2),"")</f>
        <v/>
      </c>
      <c r="AO60" s="66" t="str">
        <f>_xlfn.IFERROR(INDEX('Tabela PW'!$U:$X,'Słownik PW'!C60,3),"")</f>
        <v/>
      </c>
      <c r="AP60" s="67" t="str">
        <f>_xlfn.IFERROR(INDEX('Tabela PW'!$U:$X,'Słownik PW'!C60,4),"")</f>
        <v/>
      </c>
      <c r="AQ60" s="66" t="str">
        <f>_xlfn.IFERROR(INDEX('Tabela PW'!$U:$X,'Słownik PW'!C60,5),"")</f>
        <v/>
      </c>
      <c r="AR60" s="67" t="str">
        <f>_xlfn.IFERROR(INDEX('Tabela PW'!$U:$X,'Słownik PW'!C60,6),"")</f>
        <v/>
      </c>
      <c r="AS60" s="67" t="str">
        <f>_xlfn.IFERROR(INDEX('Tabela PW'!$U:$X,'Słownik PW'!C60,7),"")</f>
        <v/>
      </c>
      <c r="AT60" s="65"/>
      <c r="AU60" s="65"/>
      <c r="AV60" s="65"/>
      <c r="AW60" s="65"/>
      <c r="AX60" s="65"/>
      <c r="AY60" s="65"/>
      <c r="AZ60" s="65"/>
      <c r="BA60" s="65"/>
      <c r="BB60" s="65"/>
      <c r="BC60" s="65"/>
      <c r="BD60" s="65"/>
      <c r="BE60" s="65"/>
      <c r="BF60" s="65"/>
      <c r="BG60" s="65"/>
      <c r="BH60" s="68"/>
      <c r="BI60" s="65"/>
    </row>
    <row r="61" spans="1:61" ht="15">
      <c r="A61" s="4" t="s">
        <v>67</v>
      </c>
      <c r="B61" s="5" t="s">
        <v>671</v>
      </c>
      <c r="C61" s="49" t="s">
        <v>75</v>
      </c>
      <c r="D61" s="349">
        <f t="shared" si="0"/>
        <v>14</v>
      </c>
      <c r="E61" s="350" t="s">
        <v>766</v>
      </c>
      <c r="F61" s="51" t="s">
        <v>25</v>
      </c>
      <c r="G61" s="351" t="s">
        <v>683</v>
      </c>
      <c r="H61" s="351" t="s">
        <v>1498</v>
      </c>
      <c r="I61" s="351" t="s">
        <v>1499</v>
      </c>
      <c r="J61" s="351" t="s">
        <v>3759</v>
      </c>
      <c r="K61" s="354">
        <v>41123</v>
      </c>
      <c r="L61" s="355">
        <v>38038</v>
      </c>
      <c r="M61" s="354">
        <v>31459</v>
      </c>
      <c r="N61" s="355">
        <v>34880</v>
      </c>
      <c r="O61" s="355">
        <v>39122</v>
      </c>
      <c r="P61" s="355">
        <v>39170</v>
      </c>
      <c r="Q61" s="355">
        <v>34228</v>
      </c>
      <c r="R61" s="355">
        <v>42314</v>
      </c>
      <c r="S61" s="355">
        <v>44957</v>
      </c>
      <c r="T61" s="355">
        <v>49463</v>
      </c>
      <c r="U61" s="59">
        <f t="shared" si="2"/>
        <v>31459</v>
      </c>
      <c r="V61" s="59">
        <f t="shared" si="3"/>
        <v>49463</v>
      </c>
      <c r="W61" s="59">
        <f t="shared" si="4"/>
        <v>39475.4</v>
      </c>
      <c r="X61" s="60">
        <f t="shared" si="5"/>
        <v>120.2806215499842</v>
      </c>
      <c r="Y61" s="65">
        <v>60</v>
      </c>
      <c r="Z61" s="65" t="str">
        <f>_xlfn.IFERROR(INDEX('Tabela PW'!$C:$F,'Słownik PW'!C61,1),"")</f>
        <v/>
      </c>
      <c r="AA61" s="65" t="str">
        <f>_xlfn.IFERROR(INDEX('Tabela PW'!$C:$F,'Słownik PW'!C61,4),"")</f>
        <v/>
      </c>
      <c r="AB61" s="65" t="str">
        <f t="shared" si="10"/>
        <v/>
      </c>
      <c r="AC61" s="65" t="str">
        <f>_xlfn.IFERROR(INDEX('Tabela PW'!$K:$K,'Słownik PW'!C61,1),"")</f>
        <v/>
      </c>
      <c r="AD61" s="65" t="str">
        <f>_xlfn.IFERROR(INDEX('Tabela PW'!$L:$L,'Słownik PW'!C61,1),"")</f>
        <v/>
      </c>
      <c r="AE61" s="65" t="str">
        <f>_xlfn.IFERROR(INDEX('Tabela PW'!$M:$M,'Słownik PW'!C61,1),"")</f>
        <v/>
      </c>
      <c r="AF61" s="65" t="str">
        <f>_xlfn.IFERROR(INDEX('Tabela PW'!$N:$N,'Słownik PW'!C61,1),"")</f>
        <v/>
      </c>
      <c r="AG61" s="65" t="str">
        <f>_xlfn.IFERROR(INDEX('Tabela PW'!$O:$O,'Słownik PW'!C61,1),"")</f>
        <v/>
      </c>
      <c r="AH61" s="65" t="str">
        <f>_xlfn.IFERROR(INDEX('Tabela PW'!$P:$P,'Słownik PW'!C61,1),"")</f>
        <v/>
      </c>
      <c r="AI61" s="65" t="str">
        <f>_xlfn.IFERROR(INDEX('Tabela PW'!$Q:$Q,'Słownik PW'!C61,1),"")</f>
        <v/>
      </c>
      <c r="AJ61" s="65" t="str">
        <f>_xlfn.IFERROR(INDEX('Tabela PW'!$R:$R,'Słownik PW'!C61,1),"")</f>
        <v/>
      </c>
      <c r="AK61" s="65" t="str">
        <f>_xlfn.IFERROR(INDEX('Tabela PW'!$S:$S,'Słownik PW'!C61,1),"")</f>
        <v/>
      </c>
      <c r="AL61" s="65" t="str">
        <f>_xlfn.IFERROR(INDEX('Tabela PW'!$T:$T,'Słownik PW'!C61,1),"")</f>
        <v/>
      </c>
      <c r="AM61" s="65" t="str">
        <f>_xlfn.IFERROR(INDEX('Tabela PW'!$U:$X,'Słownik PW'!C61,1),"")</f>
        <v/>
      </c>
      <c r="AN61" s="65" t="str">
        <f>_xlfn.IFERROR(INDEX('Tabela PW'!$U:$X,'Słownik PW'!C61,2),"")</f>
        <v/>
      </c>
      <c r="AO61" s="66" t="str">
        <f>_xlfn.IFERROR(INDEX('Tabela PW'!$U:$X,'Słownik PW'!C61,3),"")</f>
        <v/>
      </c>
      <c r="AP61" s="67" t="str">
        <f>_xlfn.IFERROR(INDEX('Tabela PW'!$U:$X,'Słownik PW'!C61,4),"")</f>
        <v/>
      </c>
      <c r="AQ61" s="66" t="str">
        <f>_xlfn.IFERROR(INDEX('Tabela PW'!$U:$X,'Słownik PW'!C61,5),"")</f>
        <v/>
      </c>
      <c r="AR61" s="67" t="str">
        <f>_xlfn.IFERROR(INDEX('Tabela PW'!$U:$X,'Słownik PW'!C61,6),"")</f>
        <v/>
      </c>
      <c r="AS61" s="67" t="str">
        <f>_xlfn.IFERROR(INDEX('Tabela PW'!$U:$X,'Słownik PW'!C61,7),"")</f>
        <v/>
      </c>
      <c r="AT61" s="65"/>
      <c r="AU61" s="65"/>
      <c r="AV61" s="65"/>
      <c r="AW61" s="65"/>
      <c r="AX61" s="65"/>
      <c r="AY61" s="65"/>
      <c r="AZ61" s="65"/>
      <c r="BA61" s="65"/>
      <c r="BB61" s="65"/>
      <c r="BC61" s="65"/>
      <c r="BD61" s="65"/>
      <c r="BE61" s="65"/>
      <c r="BF61" s="65"/>
      <c r="BG61" s="65"/>
      <c r="BH61" s="68"/>
      <c r="BI61" s="65"/>
    </row>
    <row r="62" spans="1:61" ht="15">
      <c r="A62" s="4" t="s">
        <v>67</v>
      </c>
      <c r="B62" s="5" t="s">
        <v>671</v>
      </c>
      <c r="C62" s="49" t="s">
        <v>76</v>
      </c>
      <c r="D62" s="349">
        <f t="shared" si="0"/>
        <v>43</v>
      </c>
      <c r="E62" s="350" t="s">
        <v>767</v>
      </c>
      <c r="F62" s="51" t="s">
        <v>74</v>
      </c>
      <c r="G62" s="351" t="s">
        <v>671</v>
      </c>
      <c r="H62" s="351" t="s">
        <v>1500</v>
      </c>
      <c r="I62" s="351" t="s">
        <v>1501</v>
      </c>
      <c r="J62" s="351" t="s">
        <v>3760</v>
      </c>
      <c r="K62" s="354">
        <v>1498390</v>
      </c>
      <c r="L62" s="355">
        <v>1049329</v>
      </c>
      <c r="M62" s="354">
        <v>906421</v>
      </c>
      <c r="N62" s="355">
        <v>1050030</v>
      </c>
      <c r="O62" s="355">
        <v>1114378</v>
      </c>
      <c r="P62" s="355">
        <v>1269979</v>
      </c>
      <c r="Q62" s="355">
        <v>1361785</v>
      </c>
      <c r="R62" s="355">
        <v>1380056</v>
      </c>
      <c r="S62" s="355">
        <v>1561541</v>
      </c>
      <c r="T62" s="355">
        <v>1718137</v>
      </c>
      <c r="U62" s="59">
        <f t="shared" si="2"/>
        <v>906421</v>
      </c>
      <c r="V62" s="59">
        <f t="shared" si="3"/>
        <v>1718137</v>
      </c>
      <c r="W62" s="59">
        <f t="shared" si="4"/>
        <v>1291004.6</v>
      </c>
      <c r="X62" s="60">
        <f t="shared" si="5"/>
        <v>114.66554101402171</v>
      </c>
      <c r="Y62" s="65">
        <v>61</v>
      </c>
      <c r="Z62" s="65" t="str">
        <f>_xlfn.IFERROR(INDEX('Tabela PW'!$C:$F,'Słownik PW'!C62,1),"")</f>
        <v/>
      </c>
      <c r="AA62" s="65" t="str">
        <f>_xlfn.IFERROR(INDEX('Tabela PW'!$C:$F,'Słownik PW'!C62,4),"")</f>
        <v/>
      </c>
      <c r="AB62" s="65" t="str">
        <f t="shared" si="10"/>
        <v/>
      </c>
      <c r="AC62" s="65" t="str">
        <f>_xlfn.IFERROR(INDEX('Tabela PW'!$K:$K,'Słownik PW'!C62,1),"")</f>
        <v/>
      </c>
      <c r="AD62" s="65" t="str">
        <f>_xlfn.IFERROR(INDEX('Tabela PW'!$L:$L,'Słownik PW'!C62,1),"")</f>
        <v/>
      </c>
      <c r="AE62" s="65" t="str">
        <f>_xlfn.IFERROR(INDEX('Tabela PW'!$M:$M,'Słownik PW'!C62,1),"")</f>
        <v/>
      </c>
      <c r="AF62" s="65" t="str">
        <f>_xlfn.IFERROR(INDEX('Tabela PW'!$N:$N,'Słownik PW'!C62,1),"")</f>
        <v/>
      </c>
      <c r="AG62" s="65" t="str">
        <f>_xlfn.IFERROR(INDEX('Tabela PW'!$O:$O,'Słownik PW'!C62,1),"")</f>
        <v/>
      </c>
      <c r="AH62" s="65" t="str">
        <f>_xlfn.IFERROR(INDEX('Tabela PW'!$P:$P,'Słownik PW'!C62,1),"")</f>
        <v/>
      </c>
      <c r="AI62" s="65" t="str">
        <f>_xlfn.IFERROR(INDEX('Tabela PW'!$Q:$Q,'Słownik PW'!C62,1),"")</f>
        <v/>
      </c>
      <c r="AJ62" s="65" t="str">
        <f>_xlfn.IFERROR(INDEX('Tabela PW'!$R:$R,'Słownik PW'!C62,1),"")</f>
        <v/>
      </c>
      <c r="AK62" s="65" t="str">
        <f>_xlfn.IFERROR(INDEX('Tabela PW'!$S:$S,'Słownik PW'!C62,1),"")</f>
        <v/>
      </c>
      <c r="AL62" s="65" t="str">
        <f>_xlfn.IFERROR(INDEX('Tabela PW'!$T:$T,'Słownik PW'!C62,1),"")</f>
        <v/>
      </c>
      <c r="AM62" s="65" t="str">
        <f>_xlfn.IFERROR(INDEX('Tabela PW'!$U:$X,'Słownik PW'!C62,1),"")</f>
        <v/>
      </c>
      <c r="AN62" s="65" t="str">
        <f>_xlfn.IFERROR(INDEX('Tabela PW'!$U:$X,'Słownik PW'!C62,2),"")</f>
        <v/>
      </c>
      <c r="AO62" s="66" t="str">
        <f>_xlfn.IFERROR(INDEX('Tabela PW'!$U:$X,'Słownik PW'!C62,3),"")</f>
        <v/>
      </c>
      <c r="AP62" s="67" t="str">
        <f>_xlfn.IFERROR(INDEX('Tabela PW'!$U:$X,'Słownik PW'!C62,4),"")</f>
        <v/>
      </c>
      <c r="AQ62" s="66" t="str">
        <f>_xlfn.IFERROR(INDEX('Tabela PW'!$U:$X,'Słownik PW'!C62,5),"")</f>
        <v/>
      </c>
      <c r="AR62" s="67" t="str">
        <f>_xlfn.IFERROR(INDEX('Tabela PW'!$U:$X,'Słownik PW'!C62,6),"")</f>
        <v/>
      </c>
      <c r="AS62" s="67" t="str">
        <f>_xlfn.IFERROR(INDEX('Tabela PW'!$U:$X,'Słownik PW'!C62,7),"")</f>
        <v/>
      </c>
      <c r="AT62" s="65"/>
      <c r="AU62" s="65"/>
      <c r="AV62" s="65"/>
      <c r="AW62" s="65"/>
      <c r="AX62" s="65"/>
      <c r="AY62" s="65"/>
      <c r="AZ62" s="65"/>
      <c r="BA62" s="65"/>
      <c r="BB62" s="65"/>
      <c r="BC62" s="65"/>
      <c r="BD62" s="65"/>
      <c r="BE62" s="65"/>
      <c r="BF62" s="65"/>
      <c r="BG62" s="65"/>
      <c r="BH62" s="68"/>
      <c r="BI62" s="65"/>
    </row>
    <row r="63" spans="1:61" ht="15">
      <c r="A63" s="4" t="s">
        <v>67</v>
      </c>
      <c r="B63" s="5" t="s">
        <v>671</v>
      </c>
      <c r="C63" s="49" t="s">
        <v>76</v>
      </c>
      <c r="D63" s="349">
        <f t="shared" si="0"/>
        <v>43</v>
      </c>
      <c r="E63" s="350" t="s">
        <v>768</v>
      </c>
      <c r="F63" s="51" t="s">
        <v>25</v>
      </c>
      <c r="G63" s="351" t="s">
        <v>683</v>
      </c>
      <c r="H63" s="351" t="s">
        <v>1502</v>
      </c>
      <c r="I63" s="351" t="s">
        <v>1503</v>
      </c>
      <c r="J63" s="351" t="s">
        <v>3761</v>
      </c>
      <c r="K63" s="354">
        <v>157237</v>
      </c>
      <c r="L63" s="355">
        <v>110015</v>
      </c>
      <c r="M63" s="354">
        <v>95352</v>
      </c>
      <c r="N63" s="355">
        <v>110432</v>
      </c>
      <c r="O63" s="355">
        <v>117169</v>
      </c>
      <c r="P63" s="355">
        <v>132385</v>
      </c>
      <c r="Q63" s="355">
        <v>142350</v>
      </c>
      <c r="R63" s="355">
        <v>144030</v>
      </c>
      <c r="S63" s="355">
        <v>162865</v>
      </c>
      <c r="T63" s="355">
        <v>179086</v>
      </c>
      <c r="U63" s="59">
        <f t="shared" si="2"/>
        <v>95352</v>
      </c>
      <c r="V63" s="59">
        <f t="shared" si="3"/>
        <v>179086</v>
      </c>
      <c r="W63" s="59">
        <f t="shared" si="4"/>
        <v>135092.1</v>
      </c>
      <c r="X63" s="60">
        <f t="shared" si="5"/>
        <v>113.89558437263494</v>
      </c>
      <c r="Y63" s="65">
        <v>62</v>
      </c>
      <c r="Z63" s="65" t="str">
        <f>_xlfn.IFERROR(INDEX('Tabela PW'!$C:$F,'Słownik PW'!C63,1),"")</f>
        <v/>
      </c>
      <c r="AA63" s="65" t="str">
        <f>_xlfn.IFERROR(INDEX('Tabela PW'!$C:$F,'Słownik PW'!C63,4),"")</f>
        <v/>
      </c>
      <c r="AB63" s="65" t="str">
        <f t="shared" si="10"/>
        <v/>
      </c>
      <c r="AC63" s="65" t="str">
        <f>_xlfn.IFERROR(INDEX('Tabela PW'!$K:$K,'Słownik PW'!C63,1),"")</f>
        <v/>
      </c>
      <c r="AD63" s="65" t="str">
        <f>_xlfn.IFERROR(INDEX('Tabela PW'!$L:$L,'Słownik PW'!C63,1),"")</f>
        <v/>
      </c>
      <c r="AE63" s="65" t="str">
        <f>_xlfn.IFERROR(INDEX('Tabela PW'!$M:$M,'Słownik PW'!C63,1),"")</f>
        <v/>
      </c>
      <c r="AF63" s="65" t="str">
        <f>_xlfn.IFERROR(INDEX('Tabela PW'!$N:$N,'Słownik PW'!C63,1),"")</f>
        <v/>
      </c>
      <c r="AG63" s="65" t="str">
        <f>_xlfn.IFERROR(INDEX('Tabela PW'!$O:$O,'Słownik PW'!C63,1),"")</f>
        <v/>
      </c>
      <c r="AH63" s="65" t="str">
        <f>_xlfn.IFERROR(INDEX('Tabela PW'!$P:$P,'Słownik PW'!C63,1),"")</f>
        <v/>
      </c>
      <c r="AI63" s="65" t="str">
        <f>_xlfn.IFERROR(INDEX('Tabela PW'!$Q:$Q,'Słownik PW'!C63,1),"")</f>
        <v/>
      </c>
      <c r="AJ63" s="65" t="str">
        <f>_xlfn.IFERROR(INDEX('Tabela PW'!$R:$R,'Słownik PW'!C63,1),"")</f>
        <v/>
      </c>
      <c r="AK63" s="65" t="str">
        <f>_xlfn.IFERROR(INDEX('Tabela PW'!$S:$S,'Słownik PW'!C63,1),"")</f>
        <v/>
      </c>
      <c r="AL63" s="65" t="str">
        <f>_xlfn.IFERROR(INDEX('Tabela PW'!$T:$T,'Słownik PW'!C63,1),"")</f>
        <v/>
      </c>
      <c r="AM63" s="65" t="str">
        <f>_xlfn.IFERROR(INDEX('Tabela PW'!$U:$X,'Słownik PW'!C63,1),"")</f>
        <v/>
      </c>
      <c r="AN63" s="65" t="str">
        <f>_xlfn.IFERROR(INDEX('Tabela PW'!$U:$X,'Słownik PW'!C63,2),"")</f>
        <v/>
      </c>
      <c r="AO63" s="66" t="str">
        <f>_xlfn.IFERROR(INDEX('Tabela PW'!$U:$X,'Słownik PW'!C63,3),"")</f>
        <v/>
      </c>
      <c r="AP63" s="67" t="str">
        <f>_xlfn.IFERROR(INDEX('Tabela PW'!$U:$X,'Słownik PW'!C63,4),"")</f>
        <v/>
      </c>
      <c r="AQ63" s="66" t="str">
        <f>_xlfn.IFERROR(INDEX('Tabela PW'!$U:$X,'Słownik PW'!C63,5),"")</f>
        <v/>
      </c>
      <c r="AR63" s="67" t="str">
        <f>_xlfn.IFERROR(INDEX('Tabela PW'!$U:$X,'Słownik PW'!C63,6),"")</f>
        <v/>
      </c>
      <c r="AS63" s="67" t="str">
        <f>_xlfn.IFERROR(INDEX('Tabela PW'!$U:$X,'Słownik PW'!C63,7),"")</f>
        <v/>
      </c>
      <c r="AT63" s="65"/>
      <c r="AU63" s="65"/>
      <c r="AV63" s="65"/>
      <c r="AW63" s="65"/>
      <c r="AX63" s="65"/>
      <c r="AY63" s="65"/>
      <c r="AZ63" s="65"/>
      <c r="BA63" s="65"/>
      <c r="BB63" s="65"/>
      <c r="BC63" s="65"/>
      <c r="BD63" s="65"/>
      <c r="BE63" s="65"/>
      <c r="BF63" s="65"/>
      <c r="BG63" s="65"/>
      <c r="BH63" s="68"/>
      <c r="BI63" s="65"/>
    </row>
    <row r="64" spans="1:61" ht="15">
      <c r="A64" s="4" t="s">
        <v>67</v>
      </c>
      <c r="B64" s="5" t="s">
        <v>671</v>
      </c>
      <c r="C64" s="49" t="s">
        <v>77</v>
      </c>
      <c r="D64" s="349">
        <f t="shared" si="0"/>
        <v>47</v>
      </c>
      <c r="E64" s="350" t="s">
        <v>769</v>
      </c>
      <c r="F64" s="51" t="s">
        <v>74</v>
      </c>
      <c r="G64" s="351" t="s">
        <v>671</v>
      </c>
      <c r="H64" s="351" t="s">
        <v>1504</v>
      </c>
      <c r="I64" s="351" t="s">
        <v>1505</v>
      </c>
      <c r="J64" s="351" t="s">
        <v>3762</v>
      </c>
      <c r="K64" s="354">
        <v>1120328</v>
      </c>
      <c r="L64" s="355">
        <v>858027</v>
      </c>
      <c r="M64" s="354">
        <v>858735</v>
      </c>
      <c r="N64" s="355">
        <v>1161617</v>
      </c>
      <c r="O64" s="355">
        <v>1486732</v>
      </c>
      <c r="P64" s="355">
        <v>1946710</v>
      </c>
      <c r="Q64" s="355">
        <v>1892224</v>
      </c>
      <c r="R64" s="355">
        <v>2557226</v>
      </c>
      <c r="S64" s="355">
        <v>2991258</v>
      </c>
      <c r="T64" s="355">
        <v>3632556</v>
      </c>
      <c r="U64" s="59">
        <f t="shared" si="2"/>
        <v>858027</v>
      </c>
      <c r="V64" s="59">
        <f t="shared" si="3"/>
        <v>3632556</v>
      </c>
      <c r="W64" s="59">
        <f t="shared" si="4"/>
        <v>1850541.3</v>
      </c>
      <c r="X64" s="60">
        <f t="shared" si="5"/>
        <v>324.240401025414</v>
      </c>
      <c r="Y64" s="65">
        <v>63</v>
      </c>
      <c r="Z64" s="65" t="str">
        <f>_xlfn.IFERROR(INDEX('Tabela PW'!$C:$F,'Słownik PW'!C64,1),"")</f>
        <v/>
      </c>
      <c r="AA64" s="65" t="str">
        <f>_xlfn.IFERROR(INDEX('Tabela PW'!$C:$F,'Słownik PW'!C64,4),"")</f>
        <v/>
      </c>
      <c r="AB64" s="65" t="str">
        <f t="shared" si="10"/>
        <v/>
      </c>
      <c r="AC64" s="65" t="str">
        <f>_xlfn.IFERROR(INDEX('Tabela PW'!$K:$K,'Słownik PW'!C64,1),"")</f>
        <v/>
      </c>
      <c r="AD64" s="65" t="str">
        <f>_xlfn.IFERROR(INDEX('Tabela PW'!$L:$L,'Słownik PW'!C64,1),"")</f>
        <v/>
      </c>
      <c r="AE64" s="65" t="str">
        <f>_xlfn.IFERROR(INDEX('Tabela PW'!$M:$M,'Słownik PW'!C64,1),"")</f>
        <v/>
      </c>
      <c r="AF64" s="65" t="str">
        <f>_xlfn.IFERROR(INDEX('Tabela PW'!$N:$N,'Słownik PW'!C64,1),"")</f>
        <v/>
      </c>
      <c r="AG64" s="65" t="str">
        <f>_xlfn.IFERROR(INDEX('Tabela PW'!$O:$O,'Słownik PW'!C64,1),"")</f>
        <v/>
      </c>
      <c r="AH64" s="65" t="str">
        <f>_xlfn.IFERROR(INDEX('Tabela PW'!$P:$P,'Słownik PW'!C64,1),"")</f>
        <v/>
      </c>
      <c r="AI64" s="65" t="str">
        <f>_xlfn.IFERROR(INDEX('Tabela PW'!$Q:$Q,'Słownik PW'!C64,1),"")</f>
        <v/>
      </c>
      <c r="AJ64" s="65" t="str">
        <f>_xlfn.IFERROR(INDEX('Tabela PW'!$R:$R,'Słownik PW'!C64,1),"")</f>
        <v/>
      </c>
      <c r="AK64" s="65" t="str">
        <f>_xlfn.IFERROR(INDEX('Tabela PW'!$S:$S,'Słownik PW'!C64,1),"")</f>
        <v/>
      </c>
      <c r="AL64" s="65" t="str">
        <f>_xlfn.IFERROR(INDEX('Tabela PW'!$T:$T,'Słownik PW'!C64,1),"")</f>
        <v/>
      </c>
      <c r="AM64" s="65" t="str">
        <f>_xlfn.IFERROR(INDEX('Tabela PW'!$U:$X,'Słownik PW'!C64,1),"")</f>
        <v/>
      </c>
      <c r="AN64" s="65" t="str">
        <f>_xlfn.IFERROR(INDEX('Tabela PW'!$U:$X,'Słownik PW'!C64,2),"")</f>
        <v/>
      </c>
      <c r="AO64" s="66" t="str">
        <f>_xlfn.IFERROR(INDEX('Tabela PW'!$U:$X,'Słownik PW'!C64,3),"")</f>
        <v/>
      </c>
      <c r="AP64" s="67" t="str">
        <f>_xlfn.IFERROR(INDEX('Tabela PW'!$U:$X,'Słownik PW'!C64,4),"")</f>
        <v/>
      </c>
      <c r="AQ64" s="66" t="str">
        <f>_xlfn.IFERROR(INDEX('Tabela PW'!$U:$X,'Słownik PW'!C64,5),"")</f>
        <v/>
      </c>
      <c r="AR64" s="67" t="str">
        <f>_xlfn.IFERROR(INDEX('Tabela PW'!$U:$X,'Słownik PW'!C64,6),"")</f>
        <v/>
      </c>
      <c r="AS64" s="67" t="str">
        <f>_xlfn.IFERROR(INDEX('Tabela PW'!$U:$X,'Słownik PW'!C64,7),"")</f>
        <v/>
      </c>
      <c r="AT64" s="65"/>
      <c r="AU64" s="65"/>
      <c r="AV64" s="65"/>
      <c r="AW64" s="65"/>
      <c r="AX64" s="65"/>
      <c r="AY64" s="65"/>
      <c r="AZ64" s="65"/>
      <c r="BA64" s="65"/>
      <c r="BB64" s="65"/>
      <c r="BC64" s="65"/>
      <c r="BD64" s="65"/>
      <c r="BE64" s="65"/>
      <c r="BF64" s="65"/>
      <c r="BG64" s="65"/>
      <c r="BH64" s="68"/>
      <c r="BI64" s="65"/>
    </row>
    <row r="65" spans="1:61" ht="15">
      <c r="A65" s="4" t="s">
        <v>67</v>
      </c>
      <c r="B65" s="5" t="s">
        <v>671</v>
      </c>
      <c r="C65" s="49" t="s">
        <v>77</v>
      </c>
      <c r="D65" s="349">
        <f t="shared" si="0"/>
        <v>47</v>
      </c>
      <c r="E65" s="350" t="s">
        <v>770</v>
      </c>
      <c r="F65" s="51" t="s">
        <v>25</v>
      </c>
      <c r="G65" s="351" t="s">
        <v>683</v>
      </c>
      <c r="H65" s="351" t="s">
        <v>1506</v>
      </c>
      <c r="I65" s="351" t="s">
        <v>1507</v>
      </c>
      <c r="J65" s="351" t="s">
        <v>3763</v>
      </c>
      <c r="K65" s="354">
        <v>118364</v>
      </c>
      <c r="L65" s="355">
        <v>90536</v>
      </c>
      <c r="M65" s="354">
        <v>89847</v>
      </c>
      <c r="N65" s="355">
        <v>121352</v>
      </c>
      <c r="O65" s="355">
        <v>157262</v>
      </c>
      <c r="P65" s="355">
        <v>203595</v>
      </c>
      <c r="Q65" s="355">
        <v>197469</v>
      </c>
      <c r="R65" s="355">
        <v>277676</v>
      </c>
      <c r="S65" s="355">
        <v>315856</v>
      </c>
      <c r="T65" s="355">
        <v>389729</v>
      </c>
      <c r="U65" s="59">
        <f t="shared" si="2"/>
        <v>89847</v>
      </c>
      <c r="V65" s="59">
        <f t="shared" si="3"/>
        <v>389729</v>
      </c>
      <c r="W65" s="59">
        <f t="shared" si="4"/>
        <v>196168.6</v>
      </c>
      <c r="X65" s="60">
        <f t="shared" si="5"/>
        <v>329.26312054340843</v>
      </c>
      <c r="Y65" s="65">
        <v>64</v>
      </c>
      <c r="Z65" s="65" t="str">
        <f>_xlfn.IFERROR(INDEX('Tabela PW'!$C:$F,'Słownik PW'!C65,1),"")</f>
        <v/>
      </c>
      <c r="AA65" s="65" t="str">
        <f>_xlfn.IFERROR(INDEX('Tabela PW'!$C:$F,'Słownik PW'!C65,4),"")</f>
        <v/>
      </c>
      <c r="AB65" s="65" t="str">
        <f t="shared" si="10"/>
        <v/>
      </c>
      <c r="AC65" s="65" t="str">
        <f>_xlfn.IFERROR(INDEX('Tabela PW'!$K:$K,'Słownik PW'!C65,1),"")</f>
        <v/>
      </c>
      <c r="AD65" s="65" t="str">
        <f>_xlfn.IFERROR(INDEX('Tabela PW'!$L:$L,'Słownik PW'!C65,1),"")</f>
        <v/>
      </c>
      <c r="AE65" s="65" t="str">
        <f>_xlfn.IFERROR(INDEX('Tabela PW'!$M:$M,'Słownik PW'!C65,1),"")</f>
        <v/>
      </c>
      <c r="AF65" s="65" t="str">
        <f>_xlfn.IFERROR(INDEX('Tabela PW'!$N:$N,'Słownik PW'!C65,1),"")</f>
        <v/>
      </c>
      <c r="AG65" s="65" t="str">
        <f>_xlfn.IFERROR(INDEX('Tabela PW'!$O:$O,'Słownik PW'!C65,1),"")</f>
        <v/>
      </c>
      <c r="AH65" s="65" t="str">
        <f>_xlfn.IFERROR(INDEX('Tabela PW'!$P:$P,'Słownik PW'!C65,1),"")</f>
        <v/>
      </c>
      <c r="AI65" s="65" t="str">
        <f>_xlfn.IFERROR(INDEX('Tabela PW'!$Q:$Q,'Słownik PW'!C65,1),"")</f>
        <v/>
      </c>
      <c r="AJ65" s="65" t="str">
        <f>_xlfn.IFERROR(INDEX('Tabela PW'!$R:$R,'Słownik PW'!C65,1),"")</f>
        <v/>
      </c>
      <c r="AK65" s="65" t="str">
        <f>_xlfn.IFERROR(INDEX('Tabela PW'!$S:$S,'Słownik PW'!C65,1),"")</f>
        <v/>
      </c>
      <c r="AL65" s="65" t="str">
        <f>_xlfn.IFERROR(INDEX('Tabela PW'!$T:$T,'Słownik PW'!C65,1),"")</f>
        <v/>
      </c>
      <c r="AM65" s="65" t="str">
        <f>_xlfn.IFERROR(INDEX('Tabela PW'!$U:$X,'Słownik PW'!C65,1),"")</f>
        <v/>
      </c>
      <c r="AN65" s="65" t="str">
        <f>_xlfn.IFERROR(INDEX('Tabela PW'!$U:$X,'Słownik PW'!C65,2),"")</f>
        <v/>
      </c>
      <c r="AO65" s="66" t="str">
        <f>_xlfn.IFERROR(INDEX('Tabela PW'!$U:$X,'Słownik PW'!C65,3),"")</f>
        <v/>
      </c>
      <c r="AP65" s="67" t="str">
        <f>_xlfn.IFERROR(INDEX('Tabela PW'!$U:$X,'Słownik PW'!C65,4),"")</f>
        <v/>
      </c>
      <c r="AQ65" s="66" t="str">
        <f>_xlfn.IFERROR(INDEX('Tabela PW'!$U:$X,'Słownik PW'!C65,5),"")</f>
        <v/>
      </c>
      <c r="AR65" s="67" t="str">
        <f>_xlfn.IFERROR(INDEX('Tabela PW'!$U:$X,'Słownik PW'!C65,6),"")</f>
        <v/>
      </c>
      <c r="AS65" s="67" t="str">
        <f>_xlfn.IFERROR(INDEX('Tabela PW'!$U:$X,'Słownik PW'!C65,7),"")</f>
        <v/>
      </c>
      <c r="AT65" s="65"/>
      <c r="AU65" s="65"/>
      <c r="AV65" s="65"/>
      <c r="AW65" s="65"/>
      <c r="AX65" s="65"/>
      <c r="AY65" s="65"/>
      <c r="AZ65" s="65"/>
      <c r="BA65" s="65"/>
      <c r="BB65" s="65"/>
      <c r="BC65" s="65"/>
      <c r="BD65" s="65"/>
      <c r="BE65" s="65"/>
      <c r="BF65" s="65"/>
      <c r="BG65" s="65"/>
      <c r="BH65" s="68"/>
      <c r="BI65" s="65"/>
    </row>
    <row r="66" spans="1:61" ht="15">
      <c r="A66" s="4" t="s">
        <v>67</v>
      </c>
      <c r="B66" s="5" t="s">
        <v>671</v>
      </c>
      <c r="C66" s="49" t="s">
        <v>10</v>
      </c>
      <c r="D66" s="349">
        <f aca="true" t="shared" si="11" ref="D66:D129">LEN(C66)</f>
        <v>17</v>
      </c>
      <c r="E66" s="350" t="s">
        <v>771</v>
      </c>
      <c r="F66" s="51" t="s">
        <v>25</v>
      </c>
      <c r="G66" s="351" t="s">
        <v>683</v>
      </c>
      <c r="H66" s="351" t="s">
        <v>1508</v>
      </c>
      <c r="I66" s="351" t="s">
        <v>1509</v>
      </c>
      <c r="J66" s="351" t="s">
        <v>3764</v>
      </c>
      <c r="K66" s="354">
        <v>528606</v>
      </c>
      <c r="L66" s="355">
        <v>566779</v>
      </c>
      <c r="M66" s="354">
        <v>604497</v>
      </c>
      <c r="N66" s="355">
        <v>636366</v>
      </c>
      <c r="O66" s="355">
        <v>651804</v>
      </c>
      <c r="P66" s="355">
        <v>610416</v>
      </c>
      <c r="Q66" s="355">
        <v>706297</v>
      </c>
      <c r="R66" s="355">
        <v>749805</v>
      </c>
      <c r="S66" s="355">
        <v>645325</v>
      </c>
      <c r="T66" s="355">
        <v>538826</v>
      </c>
      <c r="U66" s="59">
        <f t="shared" si="2"/>
        <v>528606</v>
      </c>
      <c r="V66" s="59">
        <f t="shared" si="3"/>
        <v>749805</v>
      </c>
      <c r="W66" s="59">
        <f t="shared" si="4"/>
        <v>623872.1</v>
      </c>
      <c r="X66" s="60">
        <f t="shared" si="5"/>
        <v>101.93338705954909</v>
      </c>
      <c r="Y66" s="65">
        <v>65</v>
      </c>
      <c r="Z66" s="65" t="str">
        <f>_xlfn.IFERROR(INDEX('Tabela PW'!$C:$F,'Słownik PW'!C66,1),"")</f>
        <v/>
      </c>
      <c r="AA66" s="65" t="str">
        <f>_xlfn.IFERROR(INDEX('Tabela PW'!$C:$F,'Słownik PW'!C66,4),"")</f>
        <v/>
      </c>
      <c r="AB66" s="65" t="str">
        <f aca="true" t="shared" si="12" ref="AB66:AB97">IF(Z66="","",CONCATENATE(Z66," - (JM  ",AA66,")"))</f>
        <v/>
      </c>
      <c r="AC66" s="65" t="str">
        <f>_xlfn.IFERROR(INDEX('Tabela PW'!$K:$K,'Słownik PW'!C66,1),"")</f>
        <v/>
      </c>
      <c r="AD66" s="65" t="str">
        <f>_xlfn.IFERROR(INDEX('Tabela PW'!$L:$L,'Słownik PW'!C66,1),"")</f>
        <v/>
      </c>
      <c r="AE66" s="65" t="str">
        <f>_xlfn.IFERROR(INDEX('Tabela PW'!$M:$M,'Słownik PW'!C66,1),"")</f>
        <v/>
      </c>
      <c r="AF66" s="65" t="str">
        <f>_xlfn.IFERROR(INDEX('Tabela PW'!$N:$N,'Słownik PW'!C66,1),"")</f>
        <v/>
      </c>
      <c r="AG66" s="65" t="str">
        <f>_xlfn.IFERROR(INDEX('Tabela PW'!$O:$O,'Słownik PW'!C66,1),"")</f>
        <v/>
      </c>
      <c r="AH66" s="65" t="str">
        <f>_xlfn.IFERROR(INDEX('Tabela PW'!$P:$P,'Słownik PW'!C66,1),"")</f>
        <v/>
      </c>
      <c r="AI66" s="65" t="str">
        <f>_xlfn.IFERROR(INDEX('Tabela PW'!$Q:$Q,'Słownik PW'!C66,1),"")</f>
        <v/>
      </c>
      <c r="AJ66" s="65" t="str">
        <f>_xlfn.IFERROR(INDEX('Tabela PW'!$R:$R,'Słownik PW'!C66,1),"")</f>
        <v/>
      </c>
      <c r="AK66" s="65" t="str">
        <f>_xlfn.IFERROR(INDEX('Tabela PW'!$S:$S,'Słownik PW'!C66,1),"")</f>
        <v/>
      </c>
      <c r="AL66" s="65" t="str">
        <f>_xlfn.IFERROR(INDEX('Tabela PW'!$T:$T,'Słownik PW'!C66,1),"")</f>
        <v/>
      </c>
      <c r="AM66" s="65" t="str">
        <f>_xlfn.IFERROR(INDEX('Tabela PW'!$U:$X,'Słownik PW'!C66,1),"")</f>
        <v/>
      </c>
      <c r="AN66" s="65" t="str">
        <f>_xlfn.IFERROR(INDEX('Tabela PW'!$U:$X,'Słownik PW'!C66,2),"")</f>
        <v/>
      </c>
      <c r="AO66" s="66" t="str">
        <f>_xlfn.IFERROR(INDEX('Tabela PW'!$U:$X,'Słownik PW'!C66,3),"")</f>
        <v/>
      </c>
      <c r="AP66" s="67" t="str">
        <f>_xlfn.IFERROR(INDEX('Tabela PW'!$U:$X,'Słownik PW'!C66,4),"")</f>
        <v/>
      </c>
      <c r="AQ66" s="66" t="str">
        <f>_xlfn.IFERROR(INDEX('Tabela PW'!$U:$X,'Słownik PW'!C66,5),"")</f>
        <v/>
      </c>
      <c r="AR66" s="67" t="str">
        <f>_xlfn.IFERROR(INDEX('Tabela PW'!$U:$X,'Słownik PW'!C66,6),"")</f>
        <v/>
      </c>
      <c r="AS66" s="67" t="str">
        <f>_xlfn.IFERROR(INDEX('Tabela PW'!$U:$X,'Słownik PW'!C66,7),"")</f>
        <v/>
      </c>
      <c r="AT66" s="65"/>
      <c r="AU66" s="65"/>
      <c r="AV66" s="65"/>
      <c r="AW66" s="65"/>
      <c r="AX66" s="65"/>
      <c r="AY66" s="65"/>
      <c r="AZ66" s="65"/>
      <c r="BA66" s="65"/>
      <c r="BB66" s="65"/>
      <c r="BC66" s="65"/>
      <c r="BD66" s="65"/>
      <c r="BE66" s="65"/>
      <c r="BF66" s="65"/>
      <c r="BG66" s="65"/>
      <c r="BH66" s="68"/>
      <c r="BI66" s="65"/>
    </row>
    <row r="67" spans="1:61" ht="15">
      <c r="A67" s="4" t="s">
        <v>67</v>
      </c>
      <c r="B67" s="5" t="s">
        <v>671</v>
      </c>
      <c r="C67" s="49" t="s">
        <v>11</v>
      </c>
      <c r="D67" s="349">
        <f t="shared" si="11"/>
        <v>17</v>
      </c>
      <c r="E67" s="350" t="s">
        <v>772</v>
      </c>
      <c r="F67" s="51" t="s">
        <v>25</v>
      </c>
      <c r="G67" s="351" t="s">
        <v>683</v>
      </c>
      <c r="H67" s="351" t="s">
        <v>1510</v>
      </c>
      <c r="I67" s="351" t="s">
        <v>1511</v>
      </c>
      <c r="J67" s="351" t="s">
        <v>3765</v>
      </c>
      <c r="K67" s="354">
        <v>260200</v>
      </c>
      <c r="L67" s="355">
        <v>277371</v>
      </c>
      <c r="M67" s="354">
        <v>235062</v>
      </c>
      <c r="N67" s="355">
        <v>236300</v>
      </c>
      <c r="O67" s="355">
        <v>368874</v>
      </c>
      <c r="P67" s="355">
        <v>305236</v>
      </c>
      <c r="Q67" s="355">
        <v>286163</v>
      </c>
      <c r="R67" s="355">
        <v>381398</v>
      </c>
      <c r="S67" s="355">
        <v>362822</v>
      </c>
      <c r="T67" s="355">
        <v>369660</v>
      </c>
      <c r="U67" s="59">
        <f aca="true" t="shared" si="13" ref="U67:U130">MIN(K67:T67)</f>
        <v>235062</v>
      </c>
      <c r="V67" s="59">
        <f aca="true" t="shared" si="14" ref="V67:V130">MAX(K67:T67)</f>
        <v>381398</v>
      </c>
      <c r="W67" s="59">
        <f aca="true" t="shared" si="15" ref="W67:W130">AVERAGE(K67:T67)</f>
        <v>308308.6</v>
      </c>
      <c r="X67" s="60">
        <f aca="true" t="shared" si="16" ref="X67:X130">_xlfn.IFERROR(T67/K67*100,"-")</f>
        <v>142.06764027671022</v>
      </c>
      <c r="Y67" s="65">
        <v>66</v>
      </c>
      <c r="Z67" s="65" t="str">
        <f>_xlfn.IFERROR(INDEX('Tabela PW'!$C:$F,'Słownik PW'!C67,1),"")</f>
        <v/>
      </c>
      <c r="AA67" s="65" t="str">
        <f>_xlfn.IFERROR(INDEX('Tabela PW'!$C:$F,'Słownik PW'!C67,4),"")</f>
        <v/>
      </c>
      <c r="AB67" s="65" t="str">
        <f t="shared" si="12"/>
        <v/>
      </c>
      <c r="AC67" s="65" t="str">
        <f>_xlfn.IFERROR(INDEX('Tabela PW'!$K:$K,'Słownik PW'!C67,1),"")</f>
        <v/>
      </c>
      <c r="AD67" s="65" t="str">
        <f>_xlfn.IFERROR(INDEX('Tabela PW'!$L:$L,'Słownik PW'!C67,1),"")</f>
        <v/>
      </c>
      <c r="AE67" s="65" t="str">
        <f>_xlfn.IFERROR(INDEX('Tabela PW'!$M:$M,'Słownik PW'!C67,1),"")</f>
        <v/>
      </c>
      <c r="AF67" s="65" t="str">
        <f>_xlfn.IFERROR(INDEX('Tabela PW'!$N:$N,'Słownik PW'!C67,1),"")</f>
        <v/>
      </c>
      <c r="AG67" s="65" t="str">
        <f>_xlfn.IFERROR(INDEX('Tabela PW'!$O:$O,'Słownik PW'!C67,1),"")</f>
        <v/>
      </c>
      <c r="AH67" s="65" t="str">
        <f>_xlfn.IFERROR(INDEX('Tabela PW'!$P:$P,'Słownik PW'!C67,1),"")</f>
        <v/>
      </c>
      <c r="AI67" s="65" t="str">
        <f>_xlfn.IFERROR(INDEX('Tabela PW'!$Q:$Q,'Słownik PW'!C67,1),"")</f>
        <v/>
      </c>
      <c r="AJ67" s="65" t="str">
        <f>_xlfn.IFERROR(INDEX('Tabela PW'!$R:$R,'Słownik PW'!C67,1),"")</f>
        <v/>
      </c>
      <c r="AK67" s="65" t="str">
        <f>_xlfn.IFERROR(INDEX('Tabela PW'!$S:$S,'Słownik PW'!C67,1),"")</f>
        <v/>
      </c>
      <c r="AL67" s="65" t="str">
        <f>_xlfn.IFERROR(INDEX('Tabela PW'!$T:$T,'Słownik PW'!C67,1),"")</f>
        <v/>
      </c>
      <c r="AM67" s="65" t="str">
        <f>_xlfn.IFERROR(INDEX('Tabela PW'!$U:$X,'Słownik PW'!C67,1),"")</f>
        <v/>
      </c>
      <c r="AN67" s="65" t="str">
        <f>_xlfn.IFERROR(INDEX('Tabela PW'!$U:$X,'Słownik PW'!C67,2),"")</f>
        <v/>
      </c>
      <c r="AO67" s="66" t="str">
        <f>_xlfn.IFERROR(INDEX('Tabela PW'!$U:$X,'Słownik PW'!C67,3),"")</f>
        <v/>
      </c>
      <c r="AP67" s="67" t="str">
        <f>_xlfn.IFERROR(INDEX('Tabela PW'!$U:$X,'Słownik PW'!C67,4),"")</f>
        <v/>
      </c>
      <c r="AQ67" s="66" t="str">
        <f>_xlfn.IFERROR(INDEX('Tabela PW'!$U:$X,'Słownik PW'!C67,5),"")</f>
        <v/>
      </c>
      <c r="AR67" s="67" t="str">
        <f>_xlfn.IFERROR(INDEX('Tabela PW'!$U:$X,'Słownik PW'!C67,6),"")</f>
        <v/>
      </c>
      <c r="AS67" s="67" t="str">
        <f>_xlfn.IFERROR(INDEX('Tabela PW'!$U:$X,'Słownik PW'!C67,7),"")</f>
        <v/>
      </c>
      <c r="AT67" s="65"/>
      <c r="AU67" s="65"/>
      <c r="AV67" s="65"/>
      <c r="AW67" s="65"/>
      <c r="AX67" s="65"/>
      <c r="AY67" s="65"/>
      <c r="AZ67" s="65"/>
      <c r="BA67" s="65"/>
      <c r="BB67" s="65"/>
      <c r="BC67" s="65"/>
      <c r="BD67" s="65"/>
      <c r="BE67" s="65"/>
      <c r="BF67" s="65"/>
      <c r="BG67" s="65"/>
      <c r="BH67" s="68"/>
      <c r="BI67" s="65"/>
    </row>
    <row r="68" spans="1:61" ht="15">
      <c r="A68" s="4" t="s">
        <v>67</v>
      </c>
      <c r="B68" s="5" t="s">
        <v>671</v>
      </c>
      <c r="C68" s="49" t="s">
        <v>12</v>
      </c>
      <c r="D68" s="349">
        <f t="shared" si="11"/>
        <v>17</v>
      </c>
      <c r="E68" s="350" t="s">
        <v>773</v>
      </c>
      <c r="F68" s="51" t="s">
        <v>25</v>
      </c>
      <c r="G68" s="351" t="s">
        <v>683</v>
      </c>
      <c r="H68" s="351" t="s">
        <v>1512</v>
      </c>
      <c r="I68" s="351" t="s">
        <v>1513</v>
      </c>
      <c r="J68" s="351" t="s">
        <v>3766</v>
      </c>
      <c r="K68" s="354">
        <v>86866</v>
      </c>
      <c r="L68" s="355">
        <v>72984</v>
      </c>
      <c r="M68" s="354">
        <v>59298</v>
      </c>
      <c r="N68" s="355">
        <v>64570</v>
      </c>
      <c r="O68" s="355">
        <v>69339</v>
      </c>
      <c r="P68" s="355">
        <v>75365</v>
      </c>
      <c r="Q68" s="355">
        <v>75749</v>
      </c>
      <c r="R68" s="355">
        <v>82137</v>
      </c>
      <c r="S68" s="355">
        <v>63165</v>
      </c>
      <c r="T68" s="355">
        <v>67018</v>
      </c>
      <c r="U68" s="59">
        <f t="shared" si="13"/>
        <v>59298</v>
      </c>
      <c r="V68" s="59">
        <f t="shared" si="14"/>
        <v>86866</v>
      </c>
      <c r="W68" s="59">
        <f t="shared" si="15"/>
        <v>71649.1</v>
      </c>
      <c r="X68" s="60">
        <f t="shared" si="16"/>
        <v>77.15101420578823</v>
      </c>
      <c r="Y68" s="65">
        <v>67</v>
      </c>
      <c r="Z68" s="65" t="str">
        <f>_xlfn.IFERROR(INDEX('Tabela PW'!$C:$F,'Słownik PW'!C68,1),"")</f>
        <v/>
      </c>
      <c r="AA68" s="65" t="str">
        <f>_xlfn.IFERROR(INDEX('Tabela PW'!$C:$F,'Słownik PW'!C68,4),"")</f>
        <v/>
      </c>
      <c r="AB68" s="65" t="str">
        <f t="shared" si="12"/>
        <v/>
      </c>
      <c r="AC68" s="65" t="str">
        <f>_xlfn.IFERROR(INDEX('Tabela PW'!$K:$K,'Słownik PW'!C68,1),"")</f>
        <v/>
      </c>
      <c r="AD68" s="65" t="str">
        <f>_xlfn.IFERROR(INDEX('Tabela PW'!$L:$L,'Słownik PW'!C68,1),"")</f>
        <v/>
      </c>
      <c r="AE68" s="65" t="str">
        <f>_xlfn.IFERROR(INDEX('Tabela PW'!$M:$M,'Słownik PW'!C68,1),"")</f>
        <v/>
      </c>
      <c r="AF68" s="65" t="str">
        <f>_xlfn.IFERROR(INDEX('Tabela PW'!$N:$N,'Słownik PW'!C68,1),"")</f>
        <v/>
      </c>
      <c r="AG68" s="65" t="str">
        <f>_xlfn.IFERROR(INDEX('Tabela PW'!$O:$O,'Słownik PW'!C68,1),"")</f>
        <v/>
      </c>
      <c r="AH68" s="65" t="str">
        <f>_xlfn.IFERROR(INDEX('Tabela PW'!$P:$P,'Słownik PW'!C68,1),"")</f>
        <v/>
      </c>
      <c r="AI68" s="65" t="str">
        <f>_xlfn.IFERROR(INDEX('Tabela PW'!$Q:$Q,'Słownik PW'!C68,1),"")</f>
        <v/>
      </c>
      <c r="AJ68" s="65" t="str">
        <f>_xlfn.IFERROR(INDEX('Tabela PW'!$R:$R,'Słownik PW'!C68,1),"")</f>
        <v/>
      </c>
      <c r="AK68" s="65" t="str">
        <f>_xlfn.IFERROR(INDEX('Tabela PW'!$S:$S,'Słownik PW'!C68,1),"")</f>
        <v/>
      </c>
      <c r="AL68" s="65" t="str">
        <f>_xlfn.IFERROR(INDEX('Tabela PW'!$T:$T,'Słownik PW'!C68,1),"")</f>
        <v/>
      </c>
      <c r="AM68" s="65" t="str">
        <f>_xlfn.IFERROR(INDEX('Tabela PW'!$U:$X,'Słownik PW'!C68,1),"")</f>
        <v/>
      </c>
      <c r="AN68" s="65" t="str">
        <f>_xlfn.IFERROR(INDEX('Tabela PW'!$U:$X,'Słownik PW'!C68,2),"")</f>
        <v/>
      </c>
      <c r="AO68" s="66" t="str">
        <f>_xlfn.IFERROR(INDEX('Tabela PW'!$U:$X,'Słownik PW'!C68,3),"")</f>
        <v/>
      </c>
      <c r="AP68" s="67" t="str">
        <f>_xlfn.IFERROR(INDEX('Tabela PW'!$U:$X,'Słownik PW'!C68,4),"")</f>
        <v/>
      </c>
      <c r="AQ68" s="66" t="str">
        <f>_xlfn.IFERROR(INDEX('Tabela PW'!$U:$X,'Słownik PW'!C68,5),"")</f>
        <v/>
      </c>
      <c r="AR68" s="67" t="str">
        <f>_xlfn.IFERROR(INDEX('Tabela PW'!$U:$X,'Słownik PW'!C68,6),"")</f>
        <v/>
      </c>
      <c r="AS68" s="67" t="str">
        <f>_xlfn.IFERROR(INDEX('Tabela PW'!$U:$X,'Słownik PW'!C68,7),"")</f>
        <v/>
      </c>
      <c r="AT68" s="65"/>
      <c r="AU68" s="65"/>
      <c r="AV68" s="65"/>
      <c r="AW68" s="65"/>
      <c r="AX68" s="65"/>
      <c r="AY68" s="65"/>
      <c r="AZ68" s="65"/>
      <c r="BA68" s="65"/>
      <c r="BB68" s="65"/>
      <c r="BC68" s="65"/>
      <c r="BD68" s="65"/>
      <c r="BE68" s="65"/>
      <c r="BF68" s="65"/>
      <c r="BG68" s="65"/>
      <c r="BH68" s="68"/>
      <c r="BI68" s="65"/>
    </row>
    <row r="69" spans="1:61" ht="15">
      <c r="A69" s="4" t="s">
        <v>67</v>
      </c>
      <c r="B69" s="5" t="s">
        <v>671</v>
      </c>
      <c r="C69" s="49" t="s">
        <v>78</v>
      </c>
      <c r="D69" s="349">
        <f t="shared" si="11"/>
        <v>35</v>
      </c>
      <c r="E69" s="350" t="s">
        <v>774</v>
      </c>
      <c r="F69" s="51" t="s">
        <v>25</v>
      </c>
      <c r="G69" s="351" t="s">
        <v>683</v>
      </c>
      <c r="H69" s="351" t="s">
        <v>1514</v>
      </c>
      <c r="I69" s="351" t="s">
        <v>1515</v>
      </c>
      <c r="J69" s="351" t="s">
        <v>3767</v>
      </c>
      <c r="K69" s="354">
        <v>55462</v>
      </c>
      <c r="L69" s="355">
        <v>59356</v>
      </c>
      <c r="M69" s="354">
        <v>59671</v>
      </c>
      <c r="N69" s="355">
        <v>55509</v>
      </c>
      <c r="O69" s="355">
        <v>50061</v>
      </c>
      <c r="P69" s="355">
        <v>47362</v>
      </c>
      <c r="Q69" s="355">
        <v>42748</v>
      </c>
      <c r="R69" s="355">
        <v>47993</v>
      </c>
      <c r="S69" s="355">
        <v>46663</v>
      </c>
      <c r="T69" s="355">
        <v>48994</v>
      </c>
      <c r="U69" s="59">
        <f t="shared" si="13"/>
        <v>42748</v>
      </c>
      <c r="V69" s="59">
        <f t="shared" si="14"/>
        <v>59671</v>
      </c>
      <c r="W69" s="59">
        <f t="shared" si="15"/>
        <v>51381.9</v>
      </c>
      <c r="X69" s="60">
        <f t="shared" si="16"/>
        <v>88.3379611265371</v>
      </c>
      <c r="Y69" s="65">
        <v>68</v>
      </c>
      <c r="Z69" s="65" t="str">
        <f>_xlfn.IFERROR(INDEX('Tabela PW'!$C:$F,'Słownik PW'!C69,1),"")</f>
        <v/>
      </c>
      <c r="AA69" s="65" t="str">
        <f>_xlfn.IFERROR(INDEX('Tabela PW'!$C:$F,'Słownik PW'!C69,4),"")</f>
        <v/>
      </c>
      <c r="AB69" s="65" t="str">
        <f t="shared" si="12"/>
        <v/>
      </c>
      <c r="AC69" s="65" t="str">
        <f>_xlfn.IFERROR(INDEX('Tabela PW'!$K:$K,'Słownik PW'!C69,1),"")</f>
        <v/>
      </c>
      <c r="AD69" s="65" t="str">
        <f>_xlfn.IFERROR(INDEX('Tabela PW'!$L:$L,'Słownik PW'!C69,1),"")</f>
        <v/>
      </c>
      <c r="AE69" s="65" t="str">
        <f>_xlfn.IFERROR(INDEX('Tabela PW'!$M:$M,'Słownik PW'!C69,1),"")</f>
        <v/>
      </c>
      <c r="AF69" s="65" t="str">
        <f>_xlfn.IFERROR(INDEX('Tabela PW'!$N:$N,'Słownik PW'!C69,1),"")</f>
        <v/>
      </c>
      <c r="AG69" s="65" t="str">
        <f>_xlfn.IFERROR(INDEX('Tabela PW'!$O:$O,'Słownik PW'!C69,1),"")</f>
        <v/>
      </c>
      <c r="AH69" s="65" t="str">
        <f>_xlfn.IFERROR(INDEX('Tabela PW'!$P:$P,'Słownik PW'!C69,1),"")</f>
        <v/>
      </c>
      <c r="AI69" s="65" t="str">
        <f>_xlfn.IFERROR(INDEX('Tabela PW'!$Q:$Q,'Słownik PW'!C69,1),"")</f>
        <v/>
      </c>
      <c r="AJ69" s="65" t="str">
        <f>_xlfn.IFERROR(INDEX('Tabela PW'!$R:$R,'Słownik PW'!C69,1),"")</f>
        <v/>
      </c>
      <c r="AK69" s="65" t="str">
        <f>_xlfn.IFERROR(INDEX('Tabela PW'!$S:$S,'Słownik PW'!C69,1),"")</f>
        <v/>
      </c>
      <c r="AL69" s="65" t="str">
        <f>_xlfn.IFERROR(INDEX('Tabela PW'!$T:$T,'Słownik PW'!C69,1),"")</f>
        <v/>
      </c>
      <c r="AM69" s="65" t="str">
        <f>_xlfn.IFERROR(INDEX('Tabela PW'!$U:$X,'Słownik PW'!C69,1),"")</f>
        <v/>
      </c>
      <c r="AN69" s="65" t="str">
        <f>_xlfn.IFERROR(INDEX('Tabela PW'!$U:$X,'Słownik PW'!C69,2),"")</f>
        <v/>
      </c>
      <c r="AO69" s="66" t="str">
        <f>_xlfn.IFERROR(INDEX('Tabela PW'!$U:$X,'Słownik PW'!C69,3),"")</f>
        <v/>
      </c>
      <c r="AP69" s="67" t="str">
        <f>_xlfn.IFERROR(INDEX('Tabela PW'!$U:$X,'Słownik PW'!C69,4),"")</f>
        <v/>
      </c>
      <c r="AQ69" s="66" t="str">
        <f>_xlfn.IFERROR(INDEX('Tabela PW'!$U:$X,'Słownik PW'!C69,5),"")</f>
        <v/>
      </c>
      <c r="AR69" s="67" t="str">
        <f>_xlfn.IFERROR(INDEX('Tabela PW'!$U:$X,'Słownik PW'!C69,6),"")</f>
        <v/>
      </c>
      <c r="AS69" s="67" t="str">
        <f>_xlfn.IFERROR(INDEX('Tabela PW'!$U:$X,'Słownik PW'!C69,7),"")</f>
        <v/>
      </c>
      <c r="AT69" s="65"/>
      <c r="AU69" s="65"/>
      <c r="AV69" s="65"/>
      <c r="AW69" s="65"/>
      <c r="AX69" s="65"/>
      <c r="AY69" s="65"/>
      <c r="AZ69" s="65"/>
      <c r="BA69" s="65"/>
      <c r="BB69" s="65"/>
      <c r="BC69" s="65"/>
      <c r="BD69" s="65"/>
      <c r="BE69" s="65"/>
      <c r="BF69" s="65"/>
      <c r="BG69" s="65"/>
      <c r="BH69" s="68"/>
      <c r="BI69" s="65"/>
    </row>
    <row r="70" spans="1:61" ht="15">
      <c r="A70" s="4" t="s">
        <v>67</v>
      </c>
      <c r="B70" s="5" t="s">
        <v>671</v>
      </c>
      <c r="C70" s="49" t="s">
        <v>79</v>
      </c>
      <c r="D70" s="349">
        <f t="shared" si="11"/>
        <v>43</v>
      </c>
      <c r="E70" s="350" t="s">
        <v>775</v>
      </c>
      <c r="F70" s="51" t="s">
        <v>25</v>
      </c>
      <c r="G70" s="351" t="s">
        <v>683</v>
      </c>
      <c r="H70" s="351" t="s">
        <v>1516</v>
      </c>
      <c r="I70" s="351" t="s">
        <v>1517</v>
      </c>
      <c r="J70" s="351" t="s">
        <v>3768</v>
      </c>
      <c r="K70" s="354">
        <v>342</v>
      </c>
      <c r="L70" s="355">
        <v>3070</v>
      </c>
      <c r="M70" s="354">
        <v>136</v>
      </c>
      <c r="N70" s="355">
        <v>64</v>
      </c>
      <c r="O70" s="355">
        <v>44</v>
      </c>
      <c r="P70" s="355">
        <v>43</v>
      </c>
      <c r="Q70" s="355">
        <v>41</v>
      </c>
      <c r="R70" s="355">
        <v>1000</v>
      </c>
      <c r="S70" s="355">
        <v>1529</v>
      </c>
      <c r="T70" s="355">
        <v>187</v>
      </c>
      <c r="U70" s="59">
        <f t="shared" si="13"/>
        <v>41</v>
      </c>
      <c r="V70" s="59">
        <f t="shared" si="14"/>
        <v>3070</v>
      </c>
      <c r="W70" s="59">
        <f t="shared" si="15"/>
        <v>645.6</v>
      </c>
      <c r="X70" s="60">
        <f t="shared" si="16"/>
        <v>54.67836257309941</v>
      </c>
      <c r="Y70" s="65">
        <v>69</v>
      </c>
      <c r="Z70" s="65" t="str">
        <f>_xlfn.IFERROR(INDEX('Tabela PW'!$C:$F,'Słownik PW'!C70,1),"")</f>
        <v/>
      </c>
      <c r="AA70" s="65" t="str">
        <f>_xlfn.IFERROR(INDEX('Tabela PW'!$C:$F,'Słownik PW'!C70,4),"")</f>
        <v/>
      </c>
      <c r="AB70" s="65" t="str">
        <f t="shared" si="12"/>
        <v/>
      </c>
      <c r="AC70" s="65" t="str">
        <f>_xlfn.IFERROR(INDEX('Tabela PW'!$K:$K,'Słownik PW'!C70,1),"")</f>
        <v/>
      </c>
      <c r="AD70" s="65" t="str">
        <f>_xlfn.IFERROR(INDEX('Tabela PW'!$L:$L,'Słownik PW'!C70,1),"")</f>
        <v/>
      </c>
      <c r="AE70" s="65" t="str">
        <f>_xlfn.IFERROR(INDEX('Tabela PW'!$M:$M,'Słownik PW'!C70,1),"")</f>
        <v/>
      </c>
      <c r="AF70" s="65" t="str">
        <f>_xlfn.IFERROR(INDEX('Tabela PW'!$N:$N,'Słownik PW'!C70,1),"")</f>
        <v/>
      </c>
      <c r="AG70" s="65" t="str">
        <f>_xlfn.IFERROR(INDEX('Tabela PW'!$O:$O,'Słownik PW'!C70,1),"")</f>
        <v/>
      </c>
      <c r="AH70" s="65" t="str">
        <f>_xlfn.IFERROR(INDEX('Tabela PW'!$P:$P,'Słownik PW'!C70,1),"")</f>
        <v/>
      </c>
      <c r="AI70" s="65" t="str">
        <f>_xlfn.IFERROR(INDEX('Tabela PW'!$Q:$Q,'Słownik PW'!C70,1),"")</f>
        <v/>
      </c>
      <c r="AJ70" s="65" t="str">
        <f>_xlfn.IFERROR(INDEX('Tabela PW'!$R:$R,'Słownik PW'!C70,1),"")</f>
        <v/>
      </c>
      <c r="AK70" s="65" t="str">
        <f>_xlfn.IFERROR(INDEX('Tabela PW'!$S:$S,'Słownik PW'!C70,1),"")</f>
        <v/>
      </c>
      <c r="AL70" s="65" t="str">
        <f>_xlfn.IFERROR(INDEX('Tabela PW'!$T:$T,'Słownik PW'!C70,1),"")</f>
        <v/>
      </c>
      <c r="AM70" s="65" t="str">
        <f>_xlfn.IFERROR(INDEX('Tabela PW'!$U:$X,'Słownik PW'!C70,1),"")</f>
        <v/>
      </c>
      <c r="AN70" s="65" t="str">
        <f>_xlfn.IFERROR(INDEX('Tabela PW'!$U:$X,'Słownik PW'!C70,2),"")</f>
        <v/>
      </c>
      <c r="AO70" s="66" t="str">
        <f>_xlfn.IFERROR(INDEX('Tabela PW'!$U:$X,'Słownik PW'!C70,3),"")</f>
        <v/>
      </c>
      <c r="AP70" s="67" t="str">
        <f>_xlfn.IFERROR(INDEX('Tabela PW'!$U:$X,'Słownik PW'!C70,4),"")</f>
        <v/>
      </c>
      <c r="AQ70" s="66" t="str">
        <f>_xlfn.IFERROR(INDEX('Tabela PW'!$U:$X,'Słownik PW'!C70,5),"")</f>
        <v/>
      </c>
      <c r="AR70" s="67" t="str">
        <f>_xlfn.IFERROR(INDEX('Tabela PW'!$U:$X,'Słownik PW'!C70,6),"")</f>
        <v/>
      </c>
      <c r="AS70" s="67" t="str">
        <f>_xlfn.IFERROR(INDEX('Tabela PW'!$U:$X,'Słownik PW'!C70,7),"")</f>
        <v/>
      </c>
      <c r="AT70" s="65"/>
      <c r="AU70" s="65"/>
      <c r="AV70" s="65"/>
      <c r="AW70" s="65"/>
      <c r="AX70" s="65"/>
      <c r="AY70" s="65"/>
      <c r="AZ70" s="65"/>
      <c r="BA70" s="65"/>
      <c r="BB70" s="65"/>
      <c r="BC70" s="65"/>
      <c r="BD70" s="65"/>
      <c r="BE70" s="65"/>
      <c r="BF70" s="65"/>
      <c r="BG70" s="65"/>
      <c r="BH70" s="68"/>
      <c r="BI70" s="65"/>
    </row>
    <row r="71" spans="1:61" ht="15">
      <c r="A71" s="4" t="s">
        <v>67</v>
      </c>
      <c r="B71" s="5" t="s">
        <v>671</v>
      </c>
      <c r="C71" s="49" t="s">
        <v>80</v>
      </c>
      <c r="D71" s="349">
        <f t="shared" si="11"/>
        <v>55</v>
      </c>
      <c r="E71" s="350" t="s">
        <v>776</v>
      </c>
      <c r="F71" s="51" t="s">
        <v>25</v>
      </c>
      <c r="G71" s="351" t="s">
        <v>683</v>
      </c>
      <c r="H71" s="351" t="s">
        <v>1518</v>
      </c>
      <c r="I71" s="351" t="s">
        <v>1519</v>
      </c>
      <c r="J71" s="351" t="s">
        <v>3769</v>
      </c>
      <c r="K71" s="354">
        <v>13462</v>
      </c>
      <c r="L71" s="355">
        <v>16131</v>
      </c>
      <c r="M71" s="354">
        <v>27833</v>
      </c>
      <c r="N71" s="355">
        <v>15833</v>
      </c>
      <c r="O71" s="355">
        <v>16286</v>
      </c>
      <c r="P71" s="355">
        <v>14618</v>
      </c>
      <c r="Q71" s="355">
        <v>18013</v>
      </c>
      <c r="R71" s="355">
        <v>22181</v>
      </c>
      <c r="S71" s="355">
        <v>28844</v>
      </c>
      <c r="T71" s="355">
        <v>32451</v>
      </c>
      <c r="U71" s="59">
        <f t="shared" si="13"/>
        <v>13462</v>
      </c>
      <c r="V71" s="59">
        <f t="shared" si="14"/>
        <v>32451</v>
      </c>
      <c r="W71" s="59">
        <f t="shared" si="15"/>
        <v>20565.2</v>
      </c>
      <c r="X71" s="60">
        <f t="shared" si="16"/>
        <v>241.05630664091518</v>
      </c>
      <c r="Y71" s="65">
        <v>70</v>
      </c>
      <c r="Z71" s="65" t="str">
        <f>_xlfn.IFERROR(INDEX('Tabela PW'!$C:$F,'Słownik PW'!C71,1),"")</f>
        <v/>
      </c>
      <c r="AA71" s="65" t="str">
        <f>_xlfn.IFERROR(INDEX('Tabela PW'!$C:$F,'Słownik PW'!C71,4),"")</f>
        <v/>
      </c>
      <c r="AB71" s="65" t="str">
        <f t="shared" si="12"/>
        <v/>
      </c>
      <c r="AC71" s="65" t="str">
        <f>_xlfn.IFERROR(INDEX('Tabela PW'!$K:$K,'Słownik PW'!C71,1),"")</f>
        <v/>
      </c>
      <c r="AD71" s="65" t="str">
        <f>_xlfn.IFERROR(INDEX('Tabela PW'!$L:$L,'Słownik PW'!C71,1),"")</f>
        <v/>
      </c>
      <c r="AE71" s="65" t="str">
        <f>_xlfn.IFERROR(INDEX('Tabela PW'!$M:$M,'Słownik PW'!C71,1),"")</f>
        <v/>
      </c>
      <c r="AF71" s="65" t="str">
        <f>_xlfn.IFERROR(INDEX('Tabela PW'!$N:$N,'Słownik PW'!C71,1),"")</f>
        <v/>
      </c>
      <c r="AG71" s="65" t="str">
        <f>_xlfn.IFERROR(INDEX('Tabela PW'!$O:$O,'Słownik PW'!C71,1),"")</f>
        <v/>
      </c>
      <c r="AH71" s="65" t="str">
        <f>_xlfn.IFERROR(INDEX('Tabela PW'!$P:$P,'Słownik PW'!C71,1),"")</f>
        <v/>
      </c>
      <c r="AI71" s="65" t="str">
        <f>_xlfn.IFERROR(INDEX('Tabela PW'!$Q:$Q,'Słownik PW'!C71,1),"")</f>
        <v/>
      </c>
      <c r="AJ71" s="65" t="str">
        <f>_xlfn.IFERROR(INDEX('Tabela PW'!$R:$R,'Słownik PW'!C71,1),"")</f>
        <v/>
      </c>
      <c r="AK71" s="65" t="str">
        <f>_xlfn.IFERROR(INDEX('Tabela PW'!$S:$S,'Słownik PW'!C71,1),"")</f>
        <v/>
      </c>
      <c r="AL71" s="65" t="str">
        <f>_xlfn.IFERROR(INDEX('Tabela PW'!$T:$T,'Słownik PW'!C71,1),"")</f>
        <v/>
      </c>
      <c r="AM71" s="65" t="str">
        <f>_xlfn.IFERROR(INDEX('Tabela PW'!$U:$X,'Słownik PW'!C71,1),"")</f>
        <v/>
      </c>
      <c r="AN71" s="65" t="str">
        <f>_xlfn.IFERROR(INDEX('Tabela PW'!$U:$X,'Słownik PW'!C71,2),"")</f>
        <v/>
      </c>
      <c r="AO71" s="66" t="str">
        <f>_xlfn.IFERROR(INDEX('Tabela PW'!$U:$X,'Słownik PW'!C71,3),"")</f>
        <v/>
      </c>
      <c r="AP71" s="67" t="str">
        <f>_xlfn.IFERROR(INDEX('Tabela PW'!$U:$X,'Słownik PW'!C71,4),"")</f>
        <v/>
      </c>
      <c r="AQ71" s="66" t="str">
        <f>_xlfn.IFERROR(INDEX('Tabela PW'!$U:$X,'Słownik PW'!C71,5),"")</f>
        <v/>
      </c>
      <c r="AR71" s="67" t="str">
        <f>_xlfn.IFERROR(INDEX('Tabela PW'!$U:$X,'Słownik PW'!C71,6),"")</f>
        <v/>
      </c>
      <c r="AS71" s="67" t="str">
        <f>_xlfn.IFERROR(INDEX('Tabela PW'!$U:$X,'Słownik PW'!C71,7),"")</f>
        <v/>
      </c>
      <c r="AT71" s="65"/>
      <c r="AU71" s="65"/>
      <c r="AV71" s="65"/>
      <c r="AW71" s="65"/>
      <c r="AX71" s="65"/>
      <c r="AY71" s="65"/>
      <c r="AZ71" s="65"/>
      <c r="BA71" s="65"/>
      <c r="BB71" s="65"/>
      <c r="BC71" s="65"/>
      <c r="BD71" s="65"/>
      <c r="BE71" s="65"/>
      <c r="BF71" s="65"/>
      <c r="BG71" s="65"/>
      <c r="BH71" s="68"/>
      <c r="BI71" s="65"/>
    </row>
    <row r="72" spans="1:61" ht="15">
      <c r="A72" s="4" t="s">
        <v>67</v>
      </c>
      <c r="B72" s="5" t="s">
        <v>671</v>
      </c>
      <c r="C72" s="49" t="s">
        <v>81</v>
      </c>
      <c r="D72" s="349">
        <f t="shared" si="11"/>
        <v>63</v>
      </c>
      <c r="E72" s="350" t="s">
        <v>777</v>
      </c>
      <c r="F72" s="51" t="s">
        <v>25</v>
      </c>
      <c r="G72" s="351" t="s">
        <v>683</v>
      </c>
      <c r="H72" s="351" t="s">
        <v>1520</v>
      </c>
      <c r="I72" s="351" t="s">
        <v>1521</v>
      </c>
      <c r="J72" s="351" t="s">
        <v>3770</v>
      </c>
      <c r="K72" s="354">
        <v>463013</v>
      </c>
      <c r="L72" s="355">
        <v>439083</v>
      </c>
      <c r="M72" s="354">
        <v>397905</v>
      </c>
      <c r="N72" s="355">
        <v>447879</v>
      </c>
      <c r="O72" s="355">
        <v>463549</v>
      </c>
      <c r="P72" s="355">
        <v>508326</v>
      </c>
      <c r="Q72" s="355">
        <v>487969</v>
      </c>
      <c r="R72" s="355">
        <v>465311</v>
      </c>
      <c r="S72" s="355">
        <v>536531</v>
      </c>
      <c r="T72" s="355">
        <v>503338</v>
      </c>
      <c r="U72" s="59">
        <f t="shared" si="13"/>
        <v>397905</v>
      </c>
      <c r="V72" s="59">
        <f t="shared" si="14"/>
        <v>536531</v>
      </c>
      <c r="W72" s="59">
        <f t="shared" si="15"/>
        <v>471290.4</v>
      </c>
      <c r="X72" s="60">
        <f t="shared" si="16"/>
        <v>108.70925870331935</v>
      </c>
      <c r="Y72" s="65">
        <v>71</v>
      </c>
      <c r="Z72" s="65" t="str">
        <f>_xlfn.IFERROR(INDEX('Tabela PW'!$C:$F,'Słownik PW'!C72,1),"")</f>
        <v/>
      </c>
      <c r="AA72" s="65" t="str">
        <f>_xlfn.IFERROR(INDEX('Tabela PW'!$C:$F,'Słownik PW'!C72,4),"")</f>
        <v/>
      </c>
      <c r="AB72" s="65" t="str">
        <f t="shared" si="12"/>
        <v/>
      </c>
      <c r="AC72" s="65" t="str">
        <f>_xlfn.IFERROR(INDEX('Tabela PW'!$K:$K,'Słownik PW'!C72,1),"")</f>
        <v/>
      </c>
      <c r="AD72" s="65" t="str">
        <f>_xlfn.IFERROR(INDEX('Tabela PW'!$L:$L,'Słownik PW'!C72,1),"")</f>
        <v/>
      </c>
      <c r="AE72" s="65" t="str">
        <f>_xlfn.IFERROR(INDEX('Tabela PW'!$M:$M,'Słownik PW'!C72,1),"")</f>
        <v/>
      </c>
      <c r="AF72" s="65" t="str">
        <f>_xlfn.IFERROR(INDEX('Tabela PW'!$N:$N,'Słownik PW'!C72,1),"")</f>
        <v/>
      </c>
      <c r="AG72" s="65" t="str">
        <f>_xlfn.IFERROR(INDEX('Tabela PW'!$O:$O,'Słownik PW'!C72,1),"")</f>
        <v/>
      </c>
      <c r="AH72" s="65" t="str">
        <f>_xlfn.IFERROR(INDEX('Tabela PW'!$P:$P,'Słownik PW'!C72,1),"")</f>
        <v/>
      </c>
      <c r="AI72" s="65" t="str">
        <f>_xlfn.IFERROR(INDEX('Tabela PW'!$Q:$Q,'Słownik PW'!C72,1),"")</f>
        <v/>
      </c>
      <c r="AJ72" s="65" t="str">
        <f>_xlfn.IFERROR(INDEX('Tabela PW'!$R:$R,'Słownik PW'!C72,1),"")</f>
        <v/>
      </c>
      <c r="AK72" s="65" t="str">
        <f>_xlfn.IFERROR(INDEX('Tabela PW'!$S:$S,'Słownik PW'!C72,1),"")</f>
        <v/>
      </c>
      <c r="AL72" s="65" t="str">
        <f>_xlfn.IFERROR(INDEX('Tabela PW'!$T:$T,'Słownik PW'!C72,1),"")</f>
        <v/>
      </c>
      <c r="AM72" s="65" t="str">
        <f>_xlfn.IFERROR(INDEX('Tabela PW'!$U:$X,'Słownik PW'!C72,1),"")</f>
        <v/>
      </c>
      <c r="AN72" s="65" t="str">
        <f>_xlfn.IFERROR(INDEX('Tabela PW'!$U:$X,'Słownik PW'!C72,2),"")</f>
        <v/>
      </c>
      <c r="AO72" s="66" t="str">
        <f>_xlfn.IFERROR(INDEX('Tabela PW'!$U:$X,'Słownik PW'!C72,3),"")</f>
        <v/>
      </c>
      <c r="AP72" s="67" t="str">
        <f>_xlfn.IFERROR(INDEX('Tabela PW'!$U:$X,'Słownik PW'!C72,4),"")</f>
        <v/>
      </c>
      <c r="AQ72" s="66" t="str">
        <f>_xlfn.IFERROR(INDEX('Tabela PW'!$U:$X,'Słownik PW'!C72,5),"")</f>
        <v/>
      </c>
      <c r="AR72" s="67" t="str">
        <f>_xlfn.IFERROR(INDEX('Tabela PW'!$U:$X,'Słownik PW'!C72,6),"")</f>
        <v/>
      </c>
      <c r="AS72" s="67" t="str">
        <f>_xlfn.IFERROR(INDEX('Tabela PW'!$U:$X,'Słownik PW'!C72,7),"")</f>
        <v/>
      </c>
      <c r="AT72" s="65"/>
      <c r="AU72" s="65"/>
      <c r="AV72" s="65"/>
      <c r="AW72" s="65"/>
      <c r="AX72" s="65"/>
      <c r="AY72" s="65"/>
      <c r="AZ72" s="65"/>
      <c r="BA72" s="65"/>
      <c r="BB72" s="65"/>
      <c r="BC72" s="65"/>
      <c r="BD72" s="65"/>
      <c r="BE72" s="65"/>
      <c r="BF72" s="65"/>
      <c r="BG72" s="65"/>
      <c r="BH72" s="68"/>
      <c r="BI72" s="65"/>
    </row>
    <row r="73" spans="1:61" ht="15">
      <c r="A73" s="4" t="s">
        <v>67</v>
      </c>
      <c r="B73" s="5" t="s">
        <v>671</v>
      </c>
      <c r="C73" s="49" t="s">
        <v>82</v>
      </c>
      <c r="D73" s="349">
        <f t="shared" si="11"/>
        <v>112</v>
      </c>
      <c r="E73" s="350" t="s">
        <v>778</v>
      </c>
      <c r="F73" s="51" t="s">
        <v>25</v>
      </c>
      <c r="G73" s="351" t="s">
        <v>683</v>
      </c>
      <c r="H73" s="351" t="s">
        <v>1522</v>
      </c>
      <c r="I73" s="351" t="s">
        <v>1523</v>
      </c>
      <c r="J73" s="351" t="s">
        <v>3771</v>
      </c>
      <c r="K73" s="354">
        <v>391289</v>
      </c>
      <c r="L73" s="355">
        <v>401906</v>
      </c>
      <c r="M73" s="354">
        <v>426125</v>
      </c>
      <c r="N73" s="355">
        <v>432392</v>
      </c>
      <c r="O73" s="355">
        <v>421390</v>
      </c>
      <c r="P73" s="355">
        <v>348251</v>
      </c>
      <c r="Q73" s="355">
        <v>359092</v>
      </c>
      <c r="R73" s="355">
        <v>335124</v>
      </c>
      <c r="S73" s="355">
        <v>320434</v>
      </c>
      <c r="T73" s="355">
        <v>318578</v>
      </c>
      <c r="U73" s="59">
        <f t="shared" si="13"/>
        <v>318578</v>
      </c>
      <c r="V73" s="59">
        <f t="shared" si="14"/>
        <v>432392</v>
      </c>
      <c r="W73" s="59">
        <f t="shared" si="15"/>
        <v>375458.1</v>
      </c>
      <c r="X73" s="60">
        <f t="shared" si="16"/>
        <v>81.41757115584645</v>
      </c>
      <c r="Y73" s="65">
        <v>72</v>
      </c>
      <c r="Z73" s="65" t="str">
        <f>_xlfn.IFERROR(INDEX('Tabela PW'!$C:$F,'Słownik PW'!C73,1),"")</f>
        <v/>
      </c>
      <c r="AA73" s="65" t="str">
        <f>_xlfn.IFERROR(INDEX('Tabela PW'!$C:$F,'Słownik PW'!C73,4),"")</f>
        <v/>
      </c>
      <c r="AB73" s="65" t="str">
        <f t="shared" si="12"/>
        <v/>
      </c>
      <c r="AC73" s="65" t="str">
        <f>_xlfn.IFERROR(INDEX('Tabela PW'!$K:$K,'Słownik PW'!C73,1),"")</f>
        <v/>
      </c>
      <c r="AD73" s="65" t="str">
        <f>_xlfn.IFERROR(INDEX('Tabela PW'!$L:$L,'Słownik PW'!C73,1),"")</f>
        <v/>
      </c>
      <c r="AE73" s="65" t="str">
        <f>_xlfn.IFERROR(INDEX('Tabela PW'!$M:$M,'Słownik PW'!C73,1),"")</f>
        <v/>
      </c>
      <c r="AF73" s="65" t="str">
        <f>_xlfn.IFERROR(INDEX('Tabela PW'!$N:$N,'Słownik PW'!C73,1),"")</f>
        <v/>
      </c>
      <c r="AG73" s="65" t="str">
        <f>_xlfn.IFERROR(INDEX('Tabela PW'!$O:$O,'Słownik PW'!C73,1),"")</f>
        <v/>
      </c>
      <c r="AH73" s="65" t="str">
        <f>_xlfn.IFERROR(INDEX('Tabela PW'!$P:$P,'Słownik PW'!C73,1),"")</f>
        <v/>
      </c>
      <c r="AI73" s="65" t="str">
        <f>_xlfn.IFERROR(INDEX('Tabela PW'!$Q:$Q,'Słownik PW'!C73,1),"")</f>
        <v/>
      </c>
      <c r="AJ73" s="65" t="str">
        <f>_xlfn.IFERROR(INDEX('Tabela PW'!$R:$R,'Słownik PW'!C73,1),"")</f>
        <v/>
      </c>
      <c r="AK73" s="65" t="str">
        <f>_xlfn.IFERROR(INDEX('Tabela PW'!$S:$S,'Słownik PW'!C73,1),"")</f>
        <v/>
      </c>
      <c r="AL73" s="65" t="str">
        <f>_xlfn.IFERROR(INDEX('Tabela PW'!$T:$T,'Słownik PW'!C73,1),"")</f>
        <v/>
      </c>
      <c r="AM73" s="65" t="str">
        <f>_xlfn.IFERROR(INDEX('Tabela PW'!$U:$X,'Słownik PW'!C73,1),"")</f>
        <v/>
      </c>
      <c r="AN73" s="65" t="str">
        <f>_xlfn.IFERROR(INDEX('Tabela PW'!$U:$X,'Słownik PW'!C73,2),"")</f>
        <v/>
      </c>
      <c r="AO73" s="66" t="str">
        <f>_xlfn.IFERROR(INDEX('Tabela PW'!$U:$X,'Słownik PW'!C73,3),"")</f>
        <v/>
      </c>
      <c r="AP73" s="67" t="str">
        <f>_xlfn.IFERROR(INDEX('Tabela PW'!$U:$X,'Słownik PW'!C73,4),"")</f>
        <v/>
      </c>
      <c r="AQ73" s="66" t="str">
        <f>_xlfn.IFERROR(INDEX('Tabela PW'!$U:$X,'Słownik PW'!C73,5),"")</f>
        <v/>
      </c>
      <c r="AR73" s="67" t="str">
        <f>_xlfn.IFERROR(INDEX('Tabela PW'!$U:$X,'Słownik PW'!C73,6),"")</f>
        <v/>
      </c>
      <c r="AS73" s="67" t="str">
        <f>_xlfn.IFERROR(INDEX('Tabela PW'!$U:$X,'Słownik PW'!C73,7),"")</f>
        <v/>
      </c>
      <c r="AT73" s="65"/>
      <c r="AU73" s="65"/>
      <c r="AV73" s="65"/>
      <c r="AW73" s="65"/>
      <c r="AX73" s="65"/>
      <c r="AY73" s="65"/>
      <c r="AZ73" s="65"/>
      <c r="BA73" s="65"/>
      <c r="BB73" s="65"/>
      <c r="BC73" s="65"/>
      <c r="BD73" s="65"/>
      <c r="BE73" s="65"/>
      <c r="BF73" s="65"/>
      <c r="BG73" s="65"/>
      <c r="BH73" s="68"/>
      <c r="BI73" s="65"/>
    </row>
    <row r="74" spans="1:61" ht="15">
      <c r="A74" s="4" t="s">
        <v>67</v>
      </c>
      <c r="B74" s="5" t="s">
        <v>671</v>
      </c>
      <c r="C74" s="49" t="s">
        <v>83</v>
      </c>
      <c r="D74" s="349">
        <f t="shared" si="11"/>
        <v>25</v>
      </c>
      <c r="E74" s="350" t="s">
        <v>779</v>
      </c>
      <c r="F74" s="51" t="s">
        <v>74</v>
      </c>
      <c r="G74" s="351" t="s">
        <v>671</v>
      </c>
      <c r="H74" s="351" t="s">
        <v>1524</v>
      </c>
      <c r="I74" s="351" t="s">
        <v>1525</v>
      </c>
      <c r="J74" s="351" t="s">
        <v>3772</v>
      </c>
      <c r="K74" s="354">
        <v>27420739</v>
      </c>
      <c r="L74" s="355">
        <v>27472271</v>
      </c>
      <c r="M74" s="354">
        <v>26910717</v>
      </c>
      <c r="N74" s="355">
        <v>30251064</v>
      </c>
      <c r="O74" s="355">
        <v>28821714</v>
      </c>
      <c r="P74" s="355">
        <v>31229755</v>
      </c>
      <c r="Q74" s="355">
        <v>32687925</v>
      </c>
      <c r="R74" s="355">
        <v>34355559</v>
      </c>
      <c r="S74" s="355">
        <v>33834718</v>
      </c>
      <c r="T74" s="355">
        <v>34484103</v>
      </c>
      <c r="U74" s="59">
        <f t="shared" si="13"/>
        <v>26910717</v>
      </c>
      <c r="V74" s="59">
        <f t="shared" si="14"/>
        <v>34484103</v>
      </c>
      <c r="W74" s="59">
        <f t="shared" si="15"/>
        <v>30746856.5</v>
      </c>
      <c r="X74" s="60">
        <f t="shared" si="16"/>
        <v>125.75920364509506</v>
      </c>
      <c r="Y74" s="65">
        <v>73</v>
      </c>
      <c r="Z74" s="65" t="str">
        <f>_xlfn.IFERROR(INDEX('Tabela PW'!$C:$F,'Słownik PW'!C74,1),"")</f>
        <v/>
      </c>
      <c r="AA74" s="65" t="str">
        <f>_xlfn.IFERROR(INDEX('Tabela PW'!$C:$F,'Słownik PW'!C74,4),"")</f>
        <v/>
      </c>
      <c r="AB74" s="65" t="str">
        <f t="shared" si="12"/>
        <v/>
      </c>
      <c r="AC74" s="65" t="str">
        <f>_xlfn.IFERROR(INDEX('Tabela PW'!$K:$K,'Słownik PW'!C74,1),"")</f>
        <v/>
      </c>
      <c r="AD74" s="65" t="str">
        <f>_xlfn.IFERROR(INDEX('Tabela PW'!$L:$L,'Słownik PW'!C74,1),"")</f>
        <v/>
      </c>
      <c r="AE74" s="65" t="str">
        <f>_xlfn.IFERROR(INDEX('Tabela PW'!$M:$M,'Słownik PW'!C74,1),"")</f>
        <v/>
      </c>
      <c r="AF74" s="65" t="str">
        <f>_xlfn.IFERROR(INDEX('Tabela PW'!$N:$N,'Słownik PW'!C74,1),"")</f>
        <v/>
      </c>
      <c r="AG74" s="65" t="str">
        <f>_xlfn.IFERROR(INDEX('Tabela PW'!$O:$O,'Słownik PW'!C74,1),"")</f>
        <v/>
      </c>
      <c r="AH74" s="65" t="str">
        <f>_xlfn.IFERROR(INDEX('Tabela PW'!$P:$P,'Słownik PW'!C74,1),"")</f>
        <v/>
      </c>
      <c r="AI74" s="65" t="str">
        <f>_xlfn.IFERROR(INDEX('Tabela PW'!$Q:$Q,'Słownik PW'!C74,1),"")</f>
        <v/>
      </c>
      <c r="AJ74" s="65" t="str">
        <f>_xlfn.IFERROR(INDEX('Tabela PW'!$R:$R,'Słownik PW'!C74,1),"")</f>
        <v/>
      </c>
      <c r="AK74" s="65" t="str">
        <f>_xlfn.IFERROR(INDEX('Tabela PW'!$S:$S,'Słownik PW'!C74,1),"")</f>
        <v/>
      </c>
      <c r="AL74" s="65" t="str">
        <f>_xlfn.IFERROR(INDEX('Tabela PW'!$T:$T,'Słownik PW'!C74,1),"")</f>
        <v/>
      </c>
      <c r="AM74" s="65" t="str">
        <f>_xlfn.IFERROR(INDEX('Tabela PW'!$U:$X,'Słownik PW'!C74,1),"")</f>
        <v/>
      </c>
      <c r="AN74" s="65" t="str">
        <f>_xlfn.IFERROR(INDEX('Tabela PW'!$U:$X,'Słownik PW'!C74,2),"")</f>
        <v/>
      </c>
      <c r="AO74" s="66" t="str">
        <f>_xlfn.IFERROR(INDEX('Tabela PW'!$U:$X,'Słownik PW'!C74,3),"")</f>
        <v/>
      </c>
      <c r="AP74" s="67" t="str">
        <f>_xlfn.IFERROR(INDEX('Tabela PW'!$U:$X,'Słownik PW'!C74,4),"")</f>
        <v/>
      </c>
      <c r="AQ74" s="66" t="str">
        <f>_xlfn.IFERROR(INDEX('Tabela PW'!$U:$X,'Słownik PW'!C74,5),"")</f>
        <v/>
      </c>
      <c r="AR74" s="67" t="str">
        <f>_xlfn.IFERROR(INDEX('Tabela PW'!$U:$X,'Słownik PW'!C74,6),"")</f>
        <v/>
      </c>
      <c r="AS74" s="67" t="str">
        <f>_xlfn.IFERROR(INDEX('Tabela PW'!$U:$X,'Słownik PW'!C74,7),"")</f>
        <v/>
      </c>
      <c r="AT74" s="65"/>
      <c r="AU74" s="65"/>
      <c r="AV74" s="65"/>
      <c r="AW74" s="65"/>
      <c r="AX74" s="65"/>
      <c r="AY74" s="65"/>
      <c r="AZ74" s="65"/>
      <c r="BA74" s="65"/>
      <c r="BB74" s="65"/>
      <c r="BC74" s="65"/>
      <c r="BD74" s="65"/>
      <c r="BE74" s="65"/>
      <c r="BF74" s="65"/>
      <c r="BG74" s="65"/>
      <c r="BH74" s="68"/>
      <c r="BI74" s="65"/>
    </row>
    <row r="75" spans="1:61" ht="15">
      <c r="A75" s="4" t="s">
        <v>67</v>
      </c>
      <c r="B75" s="5" t="s">
        <v>671</v>
      </c>
      <c r="C75" s="49" t="s">
        <v>84</v>
      </c>
      <c r="D75" s="349">
        <f t="shared" si="11"/>
        <v>28</v>
      </c>
      <c r="E75" s="350" t="s">
        <v>780</v>
      </c>
      <c r="F75" s="51" t="s">
        <v>74</v>
      </c>
      <c r="G75" s="351" t="s">
        <v>671</v>
      </c>
      <c r="H75" s="351" t="s">
        <v>1526</v>
      </c>
      <c r="I75" s="351" t="s">
        <v>1527</v>
      </c>
      <c r="J75" s="351" t="s">
        <v>3773</v>
      </c>
      <c r="K75" s="354">
        <v>2403844</v>
      </c>
      <c r="L75" s="355">
        <v>2224738</v>
      </c>
      <c r="M75" s="354">
        <v>1639217</v>
      </c>
      <c r="N75" s="355">
        <v>1793266</v>
      </c>
      <c r="O75" s="355">
        <v>1953496</v>
      </c>
      <c r="P75" s="355">
        <v>1950480</v>
      </c>
      <c r="Q75" s="355">
        <v>1630910</v>
      </c>
      <c r="R75" s="355">
        <v>1844012</v>
      </c>
      <c r="S75" s="355">
        <v>2068304</v>
      </c>
      <c r="T75" s="355">
        <v>2024968</v>
      </c>
      <c r="U75" s="59">
        <f t="shared" si="13"/>
        <v>1630910</v>
      </c>
      <c r="V75" s="59">
        <f t="shared" si="14"/>
        <v>2403844</v>
      </c>
      <c r="W75" s="59">
        <f t="shared" si="15"/>
        <v>1953323.5</v>
      </c>
      <c r="X75" s="60">
        <f t="shared" si="16"/>
        <v>84.23874427791486</v>
      </c>
      <c r="Y75" s="65">
        <v>74</v>
      </c>
      <c r="Z75" s="65" t="str">
        <f>_xlfn.IFERROR(INDEX('Tabela PW'!$C:$F,'Słownik PW'!C75,1),"")</f>
        <v/>
      </c>
      <c r="AA75" s="65" t="str">
        <f>_xlfn.IFERROR(INDEX('Tabela PW'!$C:$F,'Słownik PW'!C75,4),"")</f>
        <v/>
      </c>
      <c r="AB75" s="65" t="str">
        <f t="shared" si="12"/>
        <v/>
      </c>
      <c r="AC75" s="65" t="str">
        <f>_xlfn.IFERROR(INDEX('Tabela PW'!$K:$K,'Słownik PW'!C75,1),"")</f>
        <v/>
      </c>
      <c r="AD75" s="65" t="str">
        <f>_xlfn.IFERROR(INDEX('Tabela PW'!$L:$L,'Słownik PW'!C75,1),"")</f>
        <v/>
      </c>
      <c r="AE75" s="65" t="str">
        <f>_xlfn.IFERROR(INDEX('Tabela PW'!$M:$M,'Słownik PW'!C75,1),"")</f>
        <v/>
      </c>
      <c r="AF75" s="65" t="str">
        <f>_xlfn.IFERROR(INDEX('Tabela PW'!$N:$N,'Słownik PW'!C75,1),"")</f>
        <v/>
      </c>
      <c r="AG75" s="65" t="str">
        <f>_xlfn.IFERROR(INDEX('Tabela PW'!$O:$O,'Słownik PW'!C75,1),"")</f>
        <v/>
      </c>
      <c r="AH75" s="65" t="str">
        <f>_xlfn.IFERROR(INDEX('Tabela PW'!$P:$P,'Słownik PW'!C75,1),"")</f>
        <v/>
      </c>
      <c r="AI75" s="65" t="str">
        <f>_xlfn.IFERROR(INDEX('Tabela PW'!$Q:$Q,'Słownik PW'!C75,1),"")</f>
        <v/>
      </c>
      <c r="AJ75" s="65" t="str">
        <f>_xlfn.IFERROR(INDEX('Tabela PW'!$R:$R,'Słownik PW'!C75,1),"")</f>
        <v/>
      </c>
      <c r="AK75" s="65" t="str">
        <f>_xlfn.IFERROR(INDEX('Tabela PW'!$S:$S,'Słownik PW'!C75,1),"")</f>
        <v/>
      </c>
      <c r="AL75" s="65" t="str">
        <f>_xlfn.IFERROR(INDEX('Tabela PW'!$T:$T,'Słownik PW'!C75,1),"")</f>
        <v/>
      </c>
      <c r="AM75" s="65" t="str">
        <f>_xlfn.IFERROR(INDEX('Tabela PW'!$U:$X,'Słownik PW'!C75,1),"")</f>
        <v/>
      </c>
      <c r="AN75" s="65" t="str">
        <f>_xlfn.IFERROR(INDEX('Tabela PW'!$U:$X,'Słownik PW'!C75,2),"")</f>
        <v/>
      </c>
      <c r="AO75" s="66" t="str">
        <f>_xlfn.IFERROR(INDEX('Tabela PW'!$U:$X,'Słownik PW'!C75,3),"")</f>
        <v/>
      </c>
      <c r="AP75" s="67" t="str">
        <f>_xlfn.IFERROR(INDEX('Tabela PW'!$U:$X,'Słownik PW'!C75,4),"")</f>
        <v/>
      </c>
      <c r="AQ75" s="66" t="str">
        <f>_xlfn.IFERROR(INDEX('Tabela PW'!$U:$X,'Słownik PW'!C75,5),"")</f>
        <v/>
      </c>
      <c r="AR75" s="67" t="str">
        <f>_xlfn.IFERROR(INDEX('Tabela PW'!$U:$X,'Słownik PW'!C75,6),"")</f>
        <v/>
      </c>
      <c r="AS75" s="67" t="str">
        <f>_xlfn.IFERROR(INDEX('Tabela PW'!$U:$X,'Słownik PW'!C75,7),"")</f>
        <v/>
      </c>
      <c r="AT75" s="65"/>
      <c r="AU75" s="65"/>
      <c r="AV75" s="65"/>
      <c r="AW75" s="65"/>
      <c r="AX75" s="65"/>
      <c r="AY75" s="65"/>
      <c r="AZ75" s="65"/>
      <c r="BA75" s="65"/>
      <c r="BB75" s="65"/>
      <c r="BC75" s="65"/>
      <c r="BD75" s="65"/>
      <c r="BE75" s="65"/>
      <c r="BF75" s="65"/>
      <c r="BG75" s="65"/>
      <c r="BH75" s="68"/>
      <c r="BI75" s="65"/>
    </row>
    <row r="76" spans="1:61" ht="15">
      <c r="A76" s="4" t="s">
        <v>67</v>
      </c>
      <c r="B76" s="5" t="s">
        <v>671</v>
      </c>
      <c r="C76" s="49" t="s">
        <v>85</v>
      </c>
      <c r="D76" s="349">
        <f t="shared" si="11"/>
        <v>29</v>
      </c>
      <c r="E76" s="350" t="s">
        <v>781</v>
      </c>
      <c r="F76" s="51" t="s">
        <v>74</v>
      </c>
      <c r="G76" s="351" t="s">
        <v>671</v>
      </c>
      <c r="H76" s="351" t="s">
        <v>1528</v>
      </c>
      <c r="I76" s="351" t="s">
        <v>1529</v>
      </c>
      <c r="J76" s="351" t="s">
        <v>3774</v>
      </c>
      <c r="K76" s="354">
        <v>18576370</v>
      </c>
      <c r="L76" s="355">
        <v>17872192</v>
      </c>
      <c r="M76" s="354">
        <v>17349141</v>
      </c>
      <c r="N76" s="355">
        <v>19218546</v>
      </c>
      <c r="O76" s="355">
        <v>19574508</v>
      </c>
      <c r="P76" s="355">
        <v>19428593</v>
      </c>
      <c r="Q76" s="355">
        <v>18882489</v>
      </c>
      <c r="R76" s="355">
        <v>19681361</v>
      </c>
      <c r="S76" s="355">
        <v>20325534</v>
      </c>
      <c r="T76" s="355">
        <v>21453569</v>
      </c>
      <c r="U76" s="59">
        <f t="shared" si="13"/>
        <v>17349141</v>
      </c>
      <c r="V76" s="59">
        <f t="shared" si="14"/>
        <v>21453569</v>
      </c>
      <c r="W76" s="59">
        <f t="shared" si="15"/>
        <v>19236230.3</v>
      </c>
      <c r="X76" s="60">
        <f t="shared" si="16"/>
        <v>115.48848887053822</v>
      </c>
      <c r="Y76" s="65">
        <v>75</v>
      </c>
      <c r="Z76" s="65" t="str">
        <f>_xlfn.IFERROR(INDEX('Tabela PW'!$C:$F,'Słownik PW'!C76,1),"")</f>
        <v/>
      </c>
      <c r="AA76" s="65" t="str">
        <f>_xlfn.IFERROR(INDEX('Tabela PW'!$C:$F,'Słownik PW'!C76,4),"")</f>
        <v/>
      </c>
      <c r="AB76" s="65" t="str">
        <f t="shared" si="12"/>
        <v/>
      </c>
      <c r="AC76" s="65" t="str">
        <f>_xlfn.IFERROR(INDEX('Tabela PW'!$K:$K,'Słownik PW'!C76,1),"")</f>
        <v/>
      </c>
      <c r="AD76" s="65" t="str">
        <f>_xlfn.IFERROR(INDEX('Tabela PW'!$L:$L,'Słownik PW'!C76,1),"")</f>
        <v/>
      </c>
      <c r="AE76" s="65" t="str">
        <f>_xlfn.IFERROR(INDEX('Tabela PW'!$M:$M,'Słownik PW'!C76,1),"")</f>
        <v/>
      </c>
      <c r="AF76" s="65" t="str">
        <f>_xlfn.IFERROR(INDEX('Tabela PW'!$N:$N,'Słownik PW'!C76,1),"")</f>
        <v/>
      </c>
      <c r="AG76" s="65" t="str">
        <f>_xlfn.IFERROR(INDEX('Tabela PW'!$O:$O,'Słownik PW'!C76,1),"")</f>
        <v/>
      </c>
      <c r="AH76" s="65" t="str">
        <f>_xlfn.IFERROR(INDEX('Tabela PW'!$P:$P,'Słownik PW'!C76,1),"")</f>
        <v/>
      </c>
      <c r="AI76" s="65" t="str">
        <f>_xlfn.IFERROR(INDEX('Tabela PW'!$Q:$Q,'Słownik PW'!C76,1),"")</f>
        <v/>
      </c>
      <c r="AJ76" s="65" t="str">
        <f>_xlfn.IFERROR(INDEX('Tabela PW'!$R:$R,'Słownik PW'!C76,1),"")</f>
        <v/>
      </c>
      <c r="AK76" s="65" t="str">
        <f>_xlfn.IFERROR(INDEX('Tabela PW'!$S:$S,'Słownik PW'!C76,1),"")</f>
        <v/>
      </c>
      <c r="AL76" s="65" t="str">
        <f>_xlfn.IFERROR(INDEX('Tabela PW'!$T:$T,'Słownik PW'!C76,1),"")</f>
        <v/>
      </c>
      <c r="AM76" s="65" t="str">
        <f>_xlfn.IFERROR(INDEX('Tabela PW'!$U:$X,'Słownik PW'!C76,1),"")</f>
        <v/>
      </c>
      <c r="AN76" s="65" t="str">
        <f>_xlfn.IFERROR(INDEX('Tabela PW'!$U:$X,'Słownik PW'!C76,2),"")</f>
        <v/>
      </c>
      <c r="AO76" s="66" t="str">
        <f>_xlfn.IFERROR(INDEX('Tabela PW'!$U:$X,'Słownik PW'!C76,3),"")</f>
        <v/>
      </c>
      <c r="AP76" s="67" t="str">
        <f>_xlfn.IFERROR(INDEX('Tabela PW'!$U:$X,'Słownik PW'!C76,4),"")</f>
        <v/>
      </c>
      <c r="AQ76" s="66" t="str">
        <f>_xlfn.IFERROR(INDEX('Tabela PW'!$U:$X,'Słownik PW'!C76,5),"")</f>
        <v/>
      </c>
      <c r="AR76" s="67" t="str">
        <f>_xlfn.IFERROR(INDEX('Tabela PW'!$U:$X,'Słownik PW'!C76,6),"")</f>
        <v/>
      </c>
      <c r="AS76" s="67" t="str">
        <f>_xlfn.IFERROR(INDEX('Tabela PW'!$U:$X,'Słownik PW'!C76,7),"")</f>
        <v/>
      </c>
      <c r="AT76" s="65"/>
      <c r="AU76" s="65"/>
      <c r="AV76" s="65"/>
      <c r="AW76" s="65"/>
      <c r="AX76" s="65"/>
      <c r="AY76" s="65"/>
      <c r="AZ76" s="65"/>
      <c r="BA76" s="65"/>
      <c r="BB76" s="65"/>
      <c r="BC76" s="65"/>
      <c r="BD76" s="65"/>
      <c r="BE76" s="65"/>
      <c r="BF76" s="65"/>
      <c r="BG76" s="65"/>
      <c r="BH76" s="68"/>
      <c r="BI76" s="65"/>
    </row>
    <row r="77" spans="1:61" ht="15">
      <c r="A77" s="4" t="s">
        <v>67</v>
      </c>
      <c r="B77" s="5" t="s">
        <v>671</v>
      </c>
      <c r="C77" s="49" t="s">
        <v>86</v>
      </c>
      <c r="D77" s="349">
        <f t="shared" si="11"/>
        <v>22</v>
      </c>
      <c r="E77" s="350" t="s">
        <v>782</v>
      </c>
      <c r="F77" s="51" t="s">
        <v>74</v>
      </c>
      <c r="G77" s="351" t="s">
        <v>671</v>
      </c>
      <c r="H77" s="351" t="s">
        <v>1530</v>
      </c>
      <c r="I77" s="351" t="s">
        <v>1531</v>
      </c>
      <c r="J77" s="351" t="s">
        <v>3775</v>
      </c>
      <c r="K77" s="354">
        <v>2319006</v>
      </c>
      <c r="L77" s="355">
        <v>2160330</v>
      </c>
      <c r="M77" s="354">
        <v>2315800</v>
      </c>
      <c r="N77" s="355">
        <v>2145484</v>
      </c>
      <c r="O77" s="355">
        <v>2244565</v>
      </c>
      <c r="P77" s="355">
        <v>2143788</v>
      </c>
      <c r="Q77" s="355">
        <v>2087736</v>
      </c>
      <c r="R77" s="355">
        <v>2107466</v>
      </c>
      <c r="S77" s="355">
        <v>2188716</v>
      </c>
      <c r="T77" s="355">
        <v>2162387</v>
      </c>
      <c r="U77" s="59">
        <f t="shared" si="13"/>
        <v>2087736</v>
      </c>
      <c r="V77" s="59">
        <f t="shared" si="14"/>
        <v>2319006</v>
      </c>
      <c r="W77" s="59">
        <f t="shared" si="15"/>
        <v>2187527.8</v>
      </c>
      <c r="X77" s="60">
        <f t="shared" si="16"/>
        <v>93.24628741797132</v>
      </c>
      <c r="Y77" s="65">
        <v>76</v>
      </c>
      <c r="Z77" s="65" t="str">
        <f>_xlfn.IFERROR(INDEX('Tabela PW'!$C:$F,'Słownik PW'!C77,1),"")</f>
        <v/>
      </c>
      <c r="AA77" s="65" t="str">
        <f>_xlfn.IFERROR(INDEX('Tabela PW'!$C:$F,'Słownik PW'!C77,4),"")</f>
        <v/>
      </c>
      <c r="AB77" s="65" t="str">
        <f t="shared" si="12"/>
        <v/>
      </c>
      <c r="AC77" s="65" t="str">
        <f>_xlfn.IFERROR(INDEX('Tabela PW'!$K:$K,'Słownik PW'!C77,1),"")</f>
        <v/>
      </c>
      <c r="AD77" s="65" t="str">
        <f>_xlfn.IFERROR(INDEX('Tabela PW'!$L:$L,'Słownik PW'!C77,1),"")</f>
        <v/>
      </c>
      <c r="AE77" s="65" t="str">
        <f>_xlfn.IFERROR(INDEX('Tabela PW'!$M:$M,'Słownik PW'!C77,1),"")</f>
        <v/>
      </c>
      <c r="AF77" s="65" t="str">
        <f>_xlfn.IFERROR(INDEX('Tabela PW'!$N:$N,'Słownik PW'!C77,1),"")</f>
        <v/>
      </c>
      <c r="AG77" s="65" t="str">
        <f>_xlfn.IFERROR(INDEX('Tabela PW'!$O:$O,'Słownik PW'!C77,1),"")</f>
        <v/>
      </c>
      <c r="AH77" s="65" t="str">
        <f>_xlfn.IFERROR(INDEX('Tabela PW'!$P:$P,'Słownik PW'!C77,1),"")</f>
        <v/>
      </c>
      <c r="AI77" s="65" t="str">
        <f>_xlfn.IFERROR(INDEX('Tabela PW'!$Q:$Q,'Słownik PW'!C77,1),"")</f>
        <v/>
      </c>
      <c r="AJ77" s="65" t="str">
        <f>_xlfn.IFERROR(INDEX('Tabela PW'!$R:$R,'Słownik PW'!C77,1),"")</f>
        <v/>
      </c>
      <c r="AK77" s="65" t="str">
        <f>_xlfn.IFERROR(INDEX('Tabela PW'!$S:$S,'Słownik PW'!C77,1),"")</f>
        <v/>
      </c>
      <c r="AL77" s="65" t="str">
        <f>_xlfn.IFERROR(INDEX('Tabela PW'!$T:$T,'Słownik PW'!C77,1),"")</f>
        <v/>
      </c>
      <c r="AM77" s="65" t="str">
        <f>_xlfn.IFERROR(INDEX('Tabela PW'!$U:$X,'Słownik PW'!C77,1),"")</f>
        <v/>
      </c>
      <c r="AN77" s="65" t="str">
        <f>_xlfn.IFERROR(INDEX('Tabela PW'!$U:$X,'Słownik PW'!C77,2),"")</f>
        <v/>
      </c>
      <c r="AO77" s="66" t="str">
        <f>_xlfn.IFERROR(INDEX('Tabela PW'!$U:$X,'Słownik PW'!C77,3),"")</f>
        <v/>
      </c>
      <c r="AP77" s="67" t="str">
        <f>_xlfn.IFERROR(INDEX('Tabela PW'!$U:$X,'Słownik PW'!C77,4),"")</f>
        <v/>
      </c>
      <c r="AQ77" s="66" t="str">
        <f>_xlfn.IFERROR(INDEX('Tabela PW'!$U:$X,'Słownik PW'!C77,5),"")</f>
        <v/>
      </c>
      <c r="AR77" s="67" t="str">
        <f>_xlfn.IFERROR(INDEX('Tabela PW'!$U:$X,'Słownik PW'!C77,6),"")</f>
        <v/>
      </c>
      <c r="AS77" s="67" t="str">
        <f>_xlfn.IFERROR(INDEX('Tabela PW'!$U:$X,'Słownik PW'!C77,7),"")</f>
        <v/>
      </c>
      <c r="AT77" s="65"/>
      <c r="AU77" s="65"/>
      <c r="AV77" s="65"/>
      <c r="AW77" s="65"/>
      <c r="AX77" s="65"/>
      <c r="AY77" s="65"/>
      <c r="AZ77" s="65"/>
      <c r="BA77" s="65"/>
      <c r="BB77" s="65"/>
      <c r="BC77" s="65"/>
      <c r="BD77" s="65"/>
      <c r="BE77" s="65"/>
      <c r="BF77" s="65"/>
      <c r="BG77" s="65"/>
      <c r="BH77" s="68"/>
      <c r="BI77" s="65"/>
    </row>
    <row r="78" spans="1:61" ht="15">
      <c r="A78" s="4" t="s">
        <v>67</v>
      </c>
      <c r="B78" s="5" t="s">
        <v>671</v>
      </c>
      <c r="C78" s="49" t="s">
        <v>87</v>
      </c>
      <c r="D78" s="349">
        <f t="shared" si="11"/>
        <v>33</v>
      </c>
      <c r="E78" s="350" t="s">
        <v>783</v>
      </c>
      <c r="F78" s="51" t="s">
        <v>25</v>
      </c>
      <c r="G78" s="351" t="s">
        <v>683</v>
      </c>
      <c r="H78" s="351" t="s">
        <v>1532</v>
      </c>
      <c r="I78" s="351" t="s">
        <v>1533</v>
      </c>
      <c r="J78" s="351" t="s">
        <v>3776</v>
      </c>
      <c r="K78" s="354">
        <v>123872</v>
      </c>
      <c r="L78" s="355">
        <v>148266</v>
      </c>
      <c r="M78" s="354">
        <v>154898</v>
      </c>
      <c r="N78" s="355">
        <v>153838</v>
      </c>
      <c r="O78" s="355">
        <v>236061</v>
      </c>
      <c r="P78" s="355">
        <v>207669</v>
      </c>
      <c r="Q78" s="355">
        <v>206574</v>
      </c>
      <c r="R78" s="355">
        <v>196442</v>
      </c>
      <c r="S78" s="355">
        <v>208746</v>
      </c>
      <c r="T78" s="355">
        <v>212489</v>
      </c>
      <c r="U78" s="59">
        <f t="shared" si="13"/>
        <v>123872</v>
      </c>
      <c r="V78" s="59">
        <f t="shared" si="14"/>
        <v>236061</v>
      </c>
      <c r="W78" s="59">
        <f t="shared" si="15"/>
        <v>184885.5</v>
      </c>
      <c r="X78" s="60">
        <f t="shared" si="16"/>
        <v>171.53916946525445</v>
      </c>
      <c r="Y78" s="65">
        <v>77</v>
      </c>
      <c r="Z78" s="65" t="str">
        <f>_xlfn.IFERROR(INDEX('Tabela PW'!$C:$F,'Słownik PW'!C78,1),"")</f>
        <v/>
      </c>
      <c r="AA78" s="65" t="str">
        <f>_xlfn.IFERROR(INDEX('Tabela PW'!$C:$F,'Słownik PW'!C78,4),"")</f>
        <v/>
      </c>
      <c r="AB78" s="65" t="str">
        <f t="shared" si="12"/>
        <v/>
      </c>
      <c r="AC78" s="65" t="str">
        <f>_xlfn.IFERROR(INDEX('Tabela PW'!$K:$K,'Słownik PW'!C78,1),"")</f>
        <v/>
      </c>
      <c r="AD78" s="65" t="str">
        <f>_xlfn.IFERROR(INDEX('Tabela PW'!$L:$L,'Słownik PW'!C78,1),"")</f>
        <v/>
      </c>
      <c r="AE78" s="65" t="str">
        <f>_xlfn.IFERROR(INDEX('Tabela PW'!$M:$M,'Słownik PW'!C78,1),"")</f>
        <v/>
      </c>
      <c r="AF78" s="65" t="str">
        <f>_xlfn.IFERROR(INDEX('Tabela PW'!$N:$N,'Słownik PW'!C78,1),"")</f>
        <v/>
      </c>
      <c r="AG78" s="65" t="str">
        <f>_xlfn.IFERROR(INDEX('Tabela PW'!$O:$O,'Słownik PW'!C78,1),"")</f>
        <v/>
      </c>
      <c r="AH78" s="65" t="str">
        <f>_xlfn.IFERROR(INDEX('Tabela PW'!$P:$P,'Słownik PW'!C78,1),"")</f>
        <v/>
      </c>
      <c r="AI78" s="65" t="str">
        <f>_xlfn.IFERROR(INDEX('Tabela PW'!$Q:$Q,'Słownik PW'!C78,1),"")</f>
        <v/>
      </c>
      <c r="AJ78" s="65" t="str">
        <f>_xlfn.IFERROR(INDEX('Tabela PW'!$R:$R,'Słownik PW'!C78,1),"")</f>
        <v/>
      </c>
      <c r="AK78" s="65" t="str">
        <f>_xlfn.IFERROR(INDEX('Tabela PW'!$S:$S,'Słownik PW'!C78,1),"")</f>
        <v/>
      </c>
      <c r="AL78" s="65" t="str">
        <f>_xlfn.IFERROR(INDEX('Tabela PW'!$T:$T,'Słownik PW'!C78,1),"")</f>
        <v/>
      </c>
      <c r="AM78" s="65" t="str">
        <f>_xlfn.IFERROR(INDEX('Tabela PW'!$U:$X,'Słownik PW'!C78,1),"")</f>
        <v/>
      </c>
      <c r="AN78" s="65" t="str">
        <f>_xlfn.IFERROR(INDEX('Tabela PW'!$U:$X,'Słownik PW'!C78,2),"")</f>
        <v/>
      </c>
      <c r="AO78" s="66" t="str">
        <f>_xlfn.IFERROR(INDEX('Tabela PW'!$U:$X,'Słownik PW'!C78,3),"")</f>
        <v/>
      </c>
      <c r="AP78" s="67" t="str">
        <f>_xlfn.IFERROR(INDEX('Tabela PW'!$U:$X,'Słownik PW'!C78,4),"")</f>
        <v/>
      </c>
      <c r="AQ78" s="66" t="str">
        <f>_xlfn.IFERROR(INDEX('Tabela PW'!$U:$X,'Słownik PW'!C78,5),"")</f>
        <v/>
      </c>
      <c r="AR78" s="67" t="str">
        <f>_xlfn.IFERROR(INDEX('Tabela PW'!$U:$X,'Słownik PW'!C78,6),"")</f>
        <v/>
      </c>
      <c r="AS78" s="67" t="str">
        <f>_xlfn.IFERROR(INDEX('Tabela PW'!$U:$X,'Słownik PW'!C78,7),"")</f>
        <v/>
      </c>
      <c r="AT78" s="65"/>
      <c r="AU78" s="65"/>
      <c r="AV78" s="65"/>
      <c r="AW78" s="65"/>
      <c r="AX78" s="65"/>
      <c r="AY78" s="65"/>
      <c r="AZ78" s="65"/>
      <c r="BA78" s="65"/>
      <c r="BB78" s="65"/>
      <c r="BC78" s="65"/>
      <c r="BD78" s="65"/>
      <c r="BE78" s="65"/>
      <c r="BF78" s="65"/>
      <c r="BG78" s="65"/>
      <c r="BH78" s="68"/>
      <c r="BI78" s="65"/>
    </row>
    <row r="79" spans="1:61" ht="15">
      <c r="A79" s="4" t="s">
        <v>67</v>
      </c>
      <c r="B79" s="5" t="s">
        <v>671</v>
      </c>
      <c r="C79" s="49" t="s">
        <v>13</v>
      </c>
      <c r="D79" s="349">
        <f t="shared" si="11"/>
        <v>5</v>
      </c>
      <c r="E79" s="350" t="s">
        <v>784</v>
      </c>
      <c r="F79" s="51" t="s">
        <v>25</v>
      </c>
      <c r="G79" s="351" t="s">
        <v>683</v>
      </c>
      <c r="H79" s="351" t="s">
        <v>1534</v>
      </c>
      <c r="I79" s="351" t="s">
        <v>1535</v>
      </c>
      <c r="J79" s="351" t="s">
        <v>3777</v>
      </c>
      <c r="K79" s="354">
        <v>173901</v>
      </c>
      <c r="L79" s="355">
        <v>166788</v>
      </c>
      <c r="M79" s="354">
        <v>169802</v>
      </c>
      <c r="N79" s="355">
        <v>170102</v>
      </c>
      <c r="O79" s="355">
        <v>179573</v>
      </c>
      <c r="P79" s="355">
        <v>191411</v>
      </c>
      <c r="Q79" s="355">
        <v>204054</v>
      </c>
      <c r="R79" s="355">
        <v>211518</v>
      </c>
      <c r="S79" s="355">
        <v>222385</v>
      </c>
      <c r="T79" s="355">
        <v>237213</v>
      </c>
      <c r="U79" s="59">
        <f t="shared" si="13"/>
        <v>166788</v>
      </c>
      <c r="V79" s="59">
        <f t="shared" si="14"/>
        <v>237213</v>
      </c>
      <c r="W79" s="59">
        <f t="shared" si="15"/>
        <v>192674.7</v>
      </c>
      <c r="X79" s="60">
        <f t="shared" si="16"/>
        <v>136.4069211792917</v>
      </c>
      <c r="Y79" s="65">
        <v>78</v>
      </c>
      <c r="Z79" s="65" t="str">
        <f>_xlfn.IFERROR(INDEX('Tabela PW'!$C:$F,'Słownik PW'!C79,1),"")</f>
        <v/>
      </c>
      <c r="AA79" s="65" t="str">
        <f>_xlfn.IFERROR(INDEX('Tabela PW'!$C:$F,'Słownik PW'!C79,4),"")</f>
        <v/>
      </c>
      <c r="AB79" s="65" t="str">
        <f t="shared" si="12"/>
        <v/>
      </c>
      <c r="AC79" s="65" t="str">
        <f>_xlfn.IFERROR(INDEX('Tabela PW'!$K:$K,'Słownik PW'!C79,1),"")</f>
        <v/>
      </c>
      <c r="AD79" s="65" t="str">
        <f>_xlfn.IFERROR(INDEX('Tabela PW'!$L:$L,'Słownik PW'!C79,1),"")</f>
        <v/>
      </c>
      <c r="AE79" s="65" t="str">
        <f>_xlfn.IFERROR(INDEX('Tabela PW'!$M:$M,'Słownik PW'!C79,1),"")</f>
        <v/>
      </c>
      <c r="AF79" s="65" t="str">
        <f>_xlfn.IFERROR(INDEX('Tabela PW'!$N:$N,'Słownik PW'!C79,1),"")</f>
        <v/>
      </c>
      <c r="AG79" s="65" t="str">
        <f>_xlfn.IFERROR(INDEX('Tabela PW'!$O:$O,'Słownik PW'!C79,1),"")</f>
        <v/>
      </c>
      <c r="AH79" s="65" t="str">
        <f>_xlfn.IFERROR(INDEX('Tabela PW'!$P:$P,'Słownik PW'!C79,1),"")</f>
        <v/>
      </c>
      <c r="AI79" s="65" t="str">
        <f>_xlfn.IFERROR(INDEX('Tabela PW'!$Q:$Q,'Słownik PW'!C79,1),"")</f>
        <v/>
      </c>
      <c r="AJ79" s="65" t="str">
        <f>_xlfn.IFERROR(INDEX('Tabela PW'!$R:$R,'Słownik PW'!C79,1),"")</f>
        <v/>
      </c>
      <c r="AK79" s="65" t="str">
        <f>_xlfn.IFERROR(INDEX('Tabela PW'!$S:$S,'Słownik PW'!C79,1),"")</f>
        <v/>
      </c>
      <c r="AL79" s="65" t="str">
        <f>_xlfn.IFERROR(INDEX('Tabela PW'!$T:$T,'Słownik PW'!C79,1),"")</f>
        <v/>
      </c>
      <c r="AM79" s="65" t="str">
        <f>_xlfn.IFERROR(INDEX('Tabela PW'!$U:$X,'Słownik PW'!C79,1),"")</f>
        <v/>
      </c>
      <c r="AN79" s="65" t="str">
        <f>_xlfn.IFERROR(INDEX('Tabela PW'!$U:$X,'Słownik PW'!C79,2),"")</f>
        <v/>
      </c>
      <c r="AO79" s="66" t="str">
        <f>_xlfn.IFERROR(INDEX('Tabela PW'!$U:$X,'Słownik PW'!C79,3),"")</f>
        <v/>
      </c>
      <c r="AP79" s="67" t="str">
        <f>_xlfn.IFERROR(INDEX('Tabela PW'!$U:$X,'Słownik PW'!C79,4),"")</f>
        <v/>
      </c>
      <c r="AQ79" s="66" t="str">
        <f>_xlfn.IFERROR(INDEX('Tabela PW'!$U:$X,'Słownik PW'!C79,5),"")</f>
        <v/>
      </c>
      <c r="AR79" s="67" t="str">
        <f>_xlfn.IFERROR(INDEX('Tabela PW'!$U:$X,'Słownik PW'!C79,6),"")</f>
        <v/>
      </c>
      <c r="AS79" s="67" t="str">
        <f>_xlfn.IFERROR(INDEX('Tabela PW'!$U:$X,'Słownik PW'!C79,7),"")</f>
        <v/>
      </c>
      <c r="AT79" s="65"/>
      <c r="AU79" s="65"/>
      <c r="AV79" s="65"/>
      <c r="AW79" s="65"/>
      <c r="AX79" s="65"/>
      <c r="AY79" s="65"/>
      <c r="AZ79" s="65"/>
      <c r="BA79" s="65"/>
      <c r="BB79" s="65"/>
      <c r="BC79" s="65"/>
      <c r="BD79" s="65"/>
      <c r="BE79" s="65"/>
      <c r="BF79" s="65"/>
      <c r="BG79" s="65"/>
      <c r="BH79" s="68"/>
      <c r="BI79" s="65"/>
    </row>
    <row r="80" spans="1:61" ht="15">
      <c r="A80" s="4" t="s">
        <v>67</v>
      </c>
      <c r="B80" s="5" t="s">
        <v>671</v>
      </c>
      <c r="C80" s="49" t="s">
        <v>14</v>
      </c>
      <c r="D80" s="349">
        <f t="shared" si="11"/>
        <v>14</v>
      </c>
      <c r="E80" s="350" t="s">
        <v>785</v>
      </c>
      <c r="F80" s="51" t="s">
        <v>25</v>
      </c>
      <c r="G80" s="351" t="s">
        <v>683</v>
      </c>
      <c r="H80" s="351" t="s">
        <v>1536</v>
      </c>
      <c r="I80" s="351" t="s">
        <v>1537</v>
      </c>
      <c r="J80" s="351" t="s">
        <v>3778</v>
      </c>
      <c r="K80" s="354">
        <v>731086</v>
      </c>
      <c r="L80" s="355">
        <v>754192</v>
      </c>
      <c r="M80" s="354">
        <v>793597</v>
      </c>
      <c r="N80" s="355">
        <v>820946</v>
      </c>
      <c r="O80" s="355">
        <v>799510</v>
      </c>
      <c r="P80" s="355">
        <v>833422</v>
      </c>
      <c r="Q80" s="355">
        <v>871318</v>
      </c>
      <c r="R80" s="355">
        <v>888893</v>
      </c>
      <c r="S80" s="355">
        <v>928273</v>
      </c>
      <c r="T80" s="355">
        <v>945310</v>
      </c>
      <c r="U80" s="59">
        <f t="shared" si="13"/>
        <v>731086</v>
      </c>
      <c r="V80" s="59">
        <f t="shared" si="14"/>
        <v>945310</v>
      </c>
      <c r="W80" s="59">
        <f t="shared" si="15"/>
        <v>836654.7</v>
      </c>
      <c r="X80" s="60">
        <f t="shared" si="16"/>
        <v>129.30216144201913</v>
      </c>
      <c r="Y80" s="65">
        <v>79</v>
      </c>
      <c r="Z80" s="65" t="str">
        <f>_xlfn.IFERROR(INDEX('Tabela PW'!$C:$F,'Słownik PW'!C80,1),"")</f>
        <v/>
      </c>
      <c r="AA80" s="65" t="str">
        <f>_xlfn.IFERROR(INDEX('Tabela PW'!$C:$F,'Słownik PW'!C80,4),"")</f>
        <v/>
      </c>
      <c r="AB80" s="65" t="str">
        <f t="shared" si="12"/>
        <v/>
      </c>
      <c r="AC80" s="65" t="str">
        <f>_xlfn.IFERROR(INDEX('Tabela PW'!$K:$K,'Słownik PW'!C80,1),"")</f>
        <v/>
      </c>
      <c r="AD80" s="65" t="str">
        <f>_xlfn.IFERROR(INDEX('Tabela PW'!$L:$L,'Słownik PW'!C80,1),"")</f>
        <v/>
      </c>
      <c r="AE80" s="65" t="str">
        <f>_xlfn.IFERROR(INDEX('Tabela PW'!$M:$M,'Słownik PW'!C80,1),"")</f>
        <v/>
      </c>
      <c r="AF80" s="65" t="str">
        <f>_xlfn.IFERROR(INDEX('Tabela PW'!$N:$N,'Słownik PW'!C80,1),"")</f>
        <v/>
      </c>
      <c r="AG80" s="65" t="str">
        <f>_xlfn.IFERROR(INDEX('Tabela PW'!$O:$O,'Słownik PW'!C80,1),"")</f>
        <v/>
      </c>
      <c r="AH80" s="65" t="str">
        <f>_xlfn.IFERROR(INDEX('Tabela PW'!$P:$P,'Słownik PW'!C80,1),"")</f>
        <v/>
      </c>
      <c r="AI80" s="65" t="str">
        <f>_xlfn.IFERROR(INDEX('Tabela PW'!$Q:$Q,'Słownik PW'!C80,1),"")</f>
        <v/>
      </c>
      <c r="AJ80" s="65" t="str">
        <f>_xlfn.IFERROR(INDEX('Tabela PW'!$R:$R,'Słownik PW'!C80,1),"")</f>
        <v/>
      </c>
      <c r="AK80" s="65" t="str">
        <f>_xlfn.IFERROR(INDEX('Tabela PW'!$S:$S,'Słownik PW'!C80,1),"")</f>
        <v/>
      </c>
      <c r="AL80" s="65" t="str">
        <f>_xlfn.IFERROR(INDEX('Tabela PW'!$T:$T,'Słownik PW'!C80,1),"")</f>
        <v/>
      </c>
      <c r="AM80" s="65" t="str">
        <f>_xlfn.IFERROR(INDEX('Tabela PW'!$U:$X,'Słownik PW'!C80,1),"")</f>
        <v/>
      </c>
      <c r="AN80" s="65" t="str">
        <f>_xlfn.IFERROR(INDEX('Tabela PW'!$U:$X,'Słownik PW'!C80,2),"")</f>
        <v/>
      </c>
      <c r="AO80" s="66" t="str">
        <f>_xlfn.IFERROR(INDEX('Tabela PW'!$U:$X,'Słownik PW'!C80,3),"")</f>
        <v/>
      </c>
      <c r="AP80" s="67" t="str">
        <f>_xlfn.IFERROR(INDEX('Tabela PW'!$U:$X,'Słownik PW'!C80,4),"")</f>
        <v/>
      </c>
      <c r="AQ80" s="66" t="str">
        <f>_xlfn.IFERROR(INDEX('Tabela PW'!$U:$X,'Słownik PW'!C80,5),"")</f>
        <v/>
      </c>
      <c r="AR80" s="67" t="str">
        <f>_xlfn.IFERROR(INDEX('Tabela PW'!$U:$X,'Słownik PW'!C80,6),"")</f>
        <v/>
      </c>
      <c r="AS80" s="67" t="str">
        <f>_xlfn.IFERROR(INDEX('Tabela PW'!$U:$X,'Słownik PW'!C80,7),"")</f>
        <v/>
      </c>
      <c r="AT80" s="65"/>
      <c r="AU80" s="65"/>
      <c r="AV80" s="65"/>
      <c r="AW80" s="65"/>
      <c r="AX80" s="65"/>
      <c r="AY80" s="65"/>
      <c r="AZ80" s="65"/>
      <c r="BA80" s="65"/>
      <c r="BB80" s="65"/>
      <c r="BC80" s="65"/>
      <c r="BD80" s="65"/>
      <c r="BE80" s="65"/>
      <c r="BF80" s="65"/>
      <c r="BG80" s="65"/>
      <c r="BH80" s="68"/>
      <c r="BI80" s="65"/>
    </row>
    <row r="81" spans="1:61" ht="15">
      <c r="A81" s="4" t="s">
        <v>67</v>
      </c>
      <c r="B81" s="5" t="s">
        <v>671</v>
      </c>
      <c r="C81" s="49" t="s">
        <v>88</v>
      </c>
      <c r="D81" s="349">
        <f t="shared" si="11"/>
        <v>88</v>
      </c>
      <c r="E81" s="350" t="s">
        <v>786</v>
      </c>
      <c r="F81" s="51" t="s">
        <v>25</v>
      </c>
      <c r="G81" s="351" t="s">
        <v>683</v>
      </c>
      <c r="H81" s="351" t="s">
        <v>1538</v>
      </c>
      <c r="I81" s="351" t="s">
        <v>1539</v>
      </c>
      <c r="J81" s="351" t="s">
        <v>3779</v>
      </c>
      <c r="K81" s="354">
        <v>371036</v>
      </c>
      <c r="L81" s="355">
        <v>384248</v>
      </c>
      <c r="M81" s="354">
        <v>385774</v>
      </c>
      <c r="N81" s="355">
        <v>405162</v>
      </c>
      <c r="O81" s="355">
        <v>406009</v>
      </c>
      <c r="P81" s="355">
        <v>429852</v>
      </c>
      <c r="Q81" s="355">
        <v>449261</v>
      </c>
      <c r="R81" s="355">
        <v>459543</v>
      </c>
      <c r="S81" s="355">
        <v>470105</v>
      </c>
      <c r="T81" s="355">
        <v>480562</v>
      </c>
      <c r="U81" s="59">
        <f t="shared" si="13"/>
        <v>371036</v>
      </c>
      <c r="V81" s="59">
        <f t="shared" si="14"/>
        <v>480562</v>
      </c>
      <c r="W81" s="59">
        <f t="shared" si="15"/>
        <v>424155.2</v>
      </c>
      <c r="X81" s="60">
        <f t="shared" si="16"/>
        <v>129.5189685097942</v>
      </c>
      <c r="Y81" s="65">
        <v>80</v>
      </c>
      <c r="Z81" s="65" t="str">
        <f>_xlfn.IFERROR(INDEX('Tabela PW'!$C:$F,'Słownik PW'!C81,1),"")</f>
        <v/>
      </c>
      <c r="AA81" s="65" t="str">
        <f>_xlfn.IFERROR(INDEX('Tabela PW'!$C:$F,'Słownik PW'!C81,4),"")</f>
        <v/>
      </c>
      <c r="AB81" s="65" t="str">
        <f t="shared" si="12"/>
        <v/>
      </c>
      <c r="AC81" s="65" t="str">
        <f>_xlfn.IFERROR(INDEX('Tabela PW'!$K:$K,'Słownik PW'!C81,1),"")</f>
        <v/>
      </c>
      <c r="AD81" s="65" t="str">
        <f>_xlfn.IFERROR(INDEX('Tabela PW'!$L:$L,'Słownik PW'!C81,1),"")</f>
        <v/>
      </c>
      <c r="AE81" s="65" t="str">
        <f>_xlfn.IFERROR(INDEX('Tabela PW'!$M:$M,'Słownik PW'!C81,1),"")</f>
        <v/>
      </c>
      <c r="AF81" s="65" t="str">
        <f>_xlfn.IFERROR(INDEX('Tabela PW'!$N:$N,'Słownik PW'!C81,1),"")</f>
        <v/>
      </c>
      <c r="AG81" s="65" t="str">
        <f>_xlfn.IFERROR(INDEX('Tabela PW'!$O:$O,'Słownik PW'!C81,1),"")</f>
        <v/>
      </c>
      <c r="AH81" s="65" t="str">
        <f>_xlfn.IFERROR(INDEX('Tabela PW'!$P:$P,'Słownik PW'!C81,1),"")</f>
        <v/>
      </c>
      <c r="AI81" s="65" t="str">
        <f>_xlfn.IFERROR(INDEX('Tabela PW'!$Q:$Q,'Słownik PW'!C81,1),"")</f>
        <v/>
      </c>
      <c r="AJ81" s="65" t="str">
        <f>_xlfn.IFERROR(INDEX('Tabela PW'!$R:$R,'Słownik PW'!C81,1),"")</f>
        <v/>
      </c>
      <c r="AK81" s="65" t="str">
        <f>_xlfn.IFERROR(INDEX('Tabela PW'!$S:$S,'Słownik PW'!C81,1),"")</f>
        <v/>
      </c>
      <c r="AL81" s="65" t="str">
        <f>_xlfn.IFERROR(INDEX('Tabela PW'!$T:$T,'Słownik PW'!C81,1),"")</f>
        <v/>
      </c>
      <c r="AM81" s="65" t="str">
        <f>_xlfn.IFERROR(INDEX('Tabela PW'!$U:$X,'Słownik PW'!C81,1),"")</f>
        <v/>
      </c>
      <c r="AN81" s="65" t="str">
        <f>_xlfn.IFERROR(INDEX('Tabela PW'!$U:$X,'Słownik PW'!C81,2),"")</f>
        <v/>
      </c>
      <c r="AO81" s="66" t="str">
        <f>_xlfn.IFERROR(INDEX('Tabela PW'!$U:$X,'Słownik PW'!C81,3),"")</f>
        <v/>
      </c>
      <c r="AP81" s="67" t="str">
        <f>_xlfn.IFERROR(INDEX('Tabela PW'!$U:$X,'Słownik PW'!C81,4),"")</f>
        <v/>
      </c>
      <c r="AQ81" s="66" t="str">
        <f>_xlfn.IFERROR(INDEX('Tabela PW'!$U:$X,'Słownik PW'!C81,5),"")</f>
        <v/>
      </c>
      <c r="AR81" s="67" t="str">
        <f>_xlfn.IFERROR(INDEX('Tabela PW'!$U:$X,'Słownik PW'!C81,6),"")</f>
        <v/>
      </c>
      <c r="AS81" s="67" t="str">
        <f>_xlfn.IFERROR(INDEX('Tabela PW'!$U:$X,'Słownik PW'!C81,7),"")</f>
        <v/>
      </c>
      <c r="AT81" s="65"/>
      <c r="AU81" s="65"/>
      <c r="AV81" s="65"/>
      <c r="AW81" s="65"/>
      <c r="AX81" s="65"/>
      <c r="AY81" s="65"/>
      <c r="AZ81" s="65"/>
      <c r="BA81" s="65"/>
      <c r="BB81" s="65"/>
      <c r="BC81" s="65"/>
      <c r="BD81" s="65"/>
      <c r="BE81" s="65"/>
      <c r="BF81" s="65"/>
      <c r="BG81" s="65"/>
      <c r="BH81" s="68"/>
      <c r="BI81" s="65"/>
    </row>
    <row r="82" spans="1:61" ht="15">
      <c r="A82" s="4" t="s">
        <v>67</v>
      </c>
      <c r="B82" s="5" t="s">
        <v>671</v>
      </c>
      <c r="C82" s="49" t="s">
        <v>89</v>
      </c>
      <c r="D82" s="349">
        <f t="shared" si="11"/>
        <v>31</v>
      </c>
      <c r="E82" s="350" t="s">
        <v>787</v>
      </c>
      <c r="F82" s="51" t="s">
        <v>25</v>
      </c>
      <c r="G82" s="351" t="s">
        <v>683</v>
      </c>
      <c r="H82" s="351" t="s">
        <v>1540</v>
      </c>
      <c r="I82" s="351" t="s">
        <v>1541</v>
      </c>
      <c r="J82" s="351" t="s">
        <v>3780</v>
      </c>
      <c r="K82" s="354">
        <v>266760</v>
      </c>
      <c r="L82" s="355">
        <v>284741</v>
      </c>
      <c r="M82" s="354">
        <v>312664</v>
      </c>
      <c r="N82" s="355">
        <v>310676</v>
      </c>
      <c r="O82" s="355">
        <v>301251</v>
      </c>
      <c r="P82" s="355">
        <v>309509</v>
      </c>
      <c r="Q82" s="355">
        <v>329102</v>
      </c>
      <c r="R82" s="355">
        <v>337774</v>
      </c>
      <c r="S82" s="355">
        <v>351661</v>
      </c>
      <c r="T82" s="355">
        <v>373339</v>
      </c>
      <c r="U82" s="59">
        <f t="shared" si="13"/>
        <v>266760</v>
      </c>
      <c r="V82" s="59">
        <f t="shared" si="14"/>
        <v>373339</v>
      </c>
      <c r="W82" s="59">
        <f t="shared" si="15"/>
        <v>317747.7</v>
      </c>
      <c r="X82" s="60">
        <f t="shared" si="16"/>
        <v>139.95314140050982</v>
      </c>
      <c r="Y82" s="65">
        <v>81</v>
      </c>
      <c r="Z82" s="65" t="str">
        <f>_xlfn.IFERROR(INDEX('Tabela PW'!$C:$F,'Słownik PW'!C82,1),"")</f>
        <v/>
      </c>
      <c r="AA82" s="65" t="str">
        <f>_xlfn.IFERROR(INDEX('Tabela PW'!$C:$F,'Słownik PW'!C82,4),"")</f>
        <v/>
      </c>
      <c r="AB82" s="65" t="str">
        <f t="shared" si="12"/>
        <v/>
      </c>
      <c r="AC82" s="65" t="str">
        <f>_xlfn.IFERROR(INDEX('Tabela PW'!$K:$K,'Słownik PW'!C82,1),"")</f>
        <v/>
      </c>
      <c r="AD82" s="65" t="str">
        <f>_xlfn.IFERROR(INDEX('Tabela PW'!$L:$L,'Słownik PW'!C82,1),"")</f>
        <v/>
      </c>
      <c r="AE82" s="65" t="str">
        <f>_xlfn.IFERROR(INDEX('Tabela PW'!$M:$M,'Słownik PW'!C82,1),"")</f>
        <v/>
      </c>
      <c r="AF82" s="65" t="str">
        <f>_xlfn.IFERROR(INDEX('Tabela PW'!$N:$N,'Słownik PW'!C82,1),"")</f>
        <v/>
      </c>
      <c r="AG82" s="65" t="str">
        <f>_xlfn.IFERROR(INDEX('Tabela PW'!$O:$O,'Słownik PW'!C82,1),"")</f>
        <v/>
      </c>
      <c r="AH82" s="65" t="str">
        <f>_xlfn.IFERROR(INDEX('Tabela PW'!$P:$P,'Słownik PW'!C82,1),"")</f>
        <v/>
      </c>
      <c r="AI82" s="65" t="str">
        <f>_xlfn.IFERROR(INDEX('Tabela PW'!$Q:$Q,'Słownik PW'!C82,1),"")</f>
        <v/>
      </c>
      <c r="AJ82" s="65" t="str">
        <f>_xlfn.IFERROR(INDEX('Tabela PW'!$R:$R,'Słownik PW'!C82,1),"")</f>
        <v/>
      </c>
      <c r="AK82" s="65" t="str">
        <f>_xlfn.IFERROR(INDEX('Tabela PW'!$S:$S,'Słownik PW'!C82,1),"")</f>
        <v/>
      </c>
      <c r="AL82" s="65" t="str">
        <f>_xlfn.IFERROR(INDEX('Tabela PW'!$T:$T,'Słownik PW'!C82,1),"")</f>
        <v/>
      </c>
      <c r="AM82" s="65" t="str">
        <f>_xlfn.IFERROR(INDEX('Tabela PW'!$U:$X,'Słownik PW'!C82,1),"")</f>
        <v/>
      </c>
      <c r="AN82" s="65" t="str">
        <f>_xlfn.IFERROR(INDEX('Tabela PW'!$U:$X,'Słownik PW'!C82,2),"")</f>
        <v/>
      </c>
      <c r="AO82" s="66" t="str">
        <f>_xlfn.IFERROR(INDEX('Tabela PW'!$U:$X,'Słownik PW'!C82,3),"")</f>
        <v/>
      </c>
      <c r="AP82" s="67" t="str">
        <f>_xlfn.IFERROR(INDEX('Tabela PW'!$U:$X,'Słownik PW'!C82,4),"")</f>
        <v/>
      </c>
      <c r="AQ82" s="66" t="str">
        <f>_xlfn.IFERROR(INDEX('Tabela PW'!$U:$X,'Słownik PW'!C82,5),"")</f>
        <v/>
      </c>
      <c r="AR82" s="67" t="str">
        <f>_xlfn.IFERROR(INDEX('Tabela PW'!$U:$X,'Słownik PW'!C82,6),"")</f>
        <v/>
      </c>
      <c r="AS82" s="67" t="str">
        <f>_xlfn.IFERROR(INDEX('Tabela PW'!$U:$X,'Słownik PW'!C82,7),"")</f>
        <v/>
      </c>
      <c r="AT82" s="65"/>
      <c r="AU82" s="65"/>
      <c r="AV82" s="65"/>
      <c r="AW82" s="65"/>
      <c r="AX82" s="65"/>
      <c r="AY82" s="65"/>
      <c r="AZ82" s="65"/>
      <c r="BA82" s="65"/>
      <c r="BB82" s="65"/>
      <c r="BC82" s="65"/>
      <c r="BD82" s="65"/>
      <c r="BE82" s="65"/>
      <c r="BF82" s="65"/>
      <c r="BG82" s="65"/>
      <c r="BH82" s="68"/>
      <c r="BI82" s="65"/>
    </row>
    <row r="83" spans="1:61" ht="15">
      <c r="A83" s="4" t="s">
        <v>67</v>
      </c>
      <c r="B83" s="5" t="s">
        <v>671</v>
      </c>
      <c r="C83" s="49" t="s">
        <v>90</v>
      </c>
      <c r="D83" s="349">
        <f t="shared" si="11"/>
        <v>72</v>
      </c>
      <c r="E83" s="350" t="s">
        <v>788</v>
      </c>
      <c r="F83" s="51" t="s">
        <v>25</v>
      </c>
      <c r="G83" s="351" t="s">
        <v>683</v>
      </c>
      <c r="H83" s="351" t="s">
        <v>1542</v>
      </c>
      <c r="I83" s="351" t="s">
        <v>1543</v>
      </c>
      <c r="J83" s="351" t="s">
        <v>3781</v>
      </c>
      <c r="K83" s="354">
        <v>80616</v>
      </c>
      <c r="L83" s="355">
        <v>75883</v>
      </c>
      <c r="M83" s="354">
        <v>83383</v>
      </c>
      <c r="N83" s="355">
        <v>87909</v>
      </c>
      <c r="O83" s="355">
        <v>82040</v>
      </c>
      <c r="P83" s="355">
        <v>77719</v>
      </c>
      <c r="Q83" s="355">
        <v>80271</v>
      </c>
      <c r="R83" s="355">
        <v>80682</v>
      </c>
      <c r="S83" s="355">
        <v>79292</v>
      </c>
      <c r="T83" s="355">
        <v>74831</v>
      </c>
      <c r="U83" s="59">
        <f t="shared" si="13"/>
        <v>74831</v>
      </c>
      <c r="V83" s="59">
        <f t="shared" si="14"/>
        <v>87909</v>
      </c>
      <c r="W83" s="59">
        <f t="shared" si="15"/>
        <v>80262.6</v>
      </c>
      <c r="X83" s="60">
        <f t="shared" si="16"/>
        <v>92.82400516026595</v>
      </c>
      <c r="Y83" s="65">
        <v>82</v>
      </c>
      <c r="Z83" s="65" t="str">
        <f>_xlfn.IFERROR(INDEX('Tabela PW'!$C:$F,'Słownik PW'!C83,1),"")</f>
        <v/>
      </c>
      <c r="AA83" s="65" t="str">
        <f>_xlfn.IFERROR(INDEX('Tabela PW'!$C:$F,'Słownik PW'!C83,4),"")</f>
        <v/>
      </c>
      <c r="AB83" s="65" t="str">
        <f t="shared" si="12"/>
        <v/>
      </c>
      <c r="AC83" s="65" t="str">
        <f>_xlfn.IFERROR(INDEX('Tabela PW'!$K:$K,'Słownik PW'!C83,1),"")</f>
        <v/>
      </c>
      <c r="AD83" s="65" t="str">
        <f>_xlfn.IFERROR(INDEX('Tabela PW'!$L:$L,'Słownik PW'!C83,1),"")</f>
        <v/>
      </c>
      <c r="AE83" s="65" t="str">
        <f>_xlfn.IFERROR(INDEX('Tabela PW'!$M:$M,'Słownik PW'!C83,1),"")</f>
        <v/>
      </c>
      <c r="AF83" s="65" t="str">
        <f>_xlfn.IFERROR(INDEX('Tabela PW'!$N:$N,'Słownik PW'!C83,1),"")</f>
        <v/>
      </c>
      <c r="AG83" s="65" t="str">
        <f>_xlfn.IFERROR(INDEX('Tabela PW'!$O:$O,'Słownik PW'!C83,1),"")</f>
        <v/>
      </c>
      <c r="AH83" s="65" t="str">
        <f>_xlfn.IFERROR(INDEX('Tabela PW'!$P:$P,'Słownik PW'!C83,1),"")</f>
        <v/>
      </c>
      <c r="AI83" s="65" t="str">
        <f>_xlfn.IFERROR(INDEX('Tabela PW'!$Q:$Q,'Słownik PW'!C83,1),"")</f>
        <v/>
      </c>
      <c r="AJ83" s="65" t="str">
        <f>_xlfn.IFERROR(INDEX('Tabela PW'!$R:$R,'Słownik PW'!C83,1),"")</f>
        <v/>
      </c>
      <c r="AK83" s="65" t="str">
        <f>_xlfn.IFERROR(INDEX('Tabela PW'!$S:$S,'Słownik PW'!C83,1),"")</f>
        <v/>
      </c>
      <c r="AL83" s="65" t="str">
        <f>_xlfn.IFERROR(INDEX('Tabela PW'!$T:$T,'Słownik PW'!C83,1),"")</f>
        <v/>
      </c>
      <c r="AM83" s="65" t="str">
        <f>_xlfn.IFERROR(INDEX('Tabela PW'!$U:$X,'Słownik PW'!C83,1),"")</f>
        <v/>
      </c>
      <c r="AN83" s="65" t="str">
        <f>_xlfn.IFERROR(INDEX('Tabela PW'!$U:$X,'Słownik PW'!C83,2),"")</f>
        <v/>
      </c>
      <c r="AO83" s="66" t="str">
        <f>_xlfn.IFERROR(INDEX('Tabela PW'!$U:$X,'Słownik PW'!C83,3),"")</f>
        <v/>
      </c>
      <c r="AP83" s="67" t="str">
        <f>_xlfn.IFERROR(INDEX('Tabela PW'!$U:$X,'Słownik PW'!C83,4),"")</f>
        <v/>
      </c>
      <c r="AQ83" s="66" t="str">
        <f>_xlfn.IFERROR(INDEX('Tabela PW'!$U:$X,'Słownik PW'!C83,5),"")</f>
        <v/>
      </c>
      <c r="AR83" s="67" t="str">
        <f>_xlfn.IFERROR(INDEX('Tabela PW'!$U:$X,'Słownik PW'!C83,6),"")</f>
        <v/>
      </c>
      <c r="AS83" s="67" t="str">
        <f>_xlfn.IFERROR(INDEX('Tabela PW'!$U:$X,'Słownik PW'!C83,7),"")</f>
        <v/>
      </c>
      <c r="AT83" s="65"/>
      <c r="AU83" s="65"/>
      <c r="AV83" s="65"/>
      <c r="AW83" s="65"/>
      <c r="AX83" s="65"/>
      <c r="AY83" s="65"/>
      <c r="AZ83" s="65"/>
      <c r="BA83" s="65"/>
      <c r="BB83" s="65"/>
      <c r="BC83" s="65"/>
      <c r="BD83" s="65"/>
      <c r="BE83" s="65"/>
      <c r="BF83" s="65"/>
      <c r="BG83" s="65"/>
      <c r="BH83" s="68"/>
      <c r="BI83" s="65"/>
    </row>
    <row r="84" spans="1:61" ht="15">
      <c r="A84" s="4" t="s">
        <v>67</v>
      </c>
      <c r="B84" s="5" t="s">
        <v>671</v>
      </c>
      <c r="C84" s="49" t="s">
        <v>91</v>
      </c>
      <c r="D84" s="349">
        <f t="shared" si="11"/>
        <v>6</v>
      </c>
      <c r="E84" s="350" t="s">
        <v>789</v>
      </c>
      <c r="F84" s="51" t="s">
        <v>74</v>
      </c>
      <c r="G84" s="351" t="s">
        <v>671</v>
      </c>
      <c r="H84" s="351" t="s">
        <v>1544</v>
      </c>
      <c r="I84" s="351" t="s">
        <v>1545</v>
      </c>
      <c r="J84" s="351" t="s">
        <v>3782</v>
      </c>
      <c r="K84" s="354">
        <v>4861753</v>
      </c>
      <c r="L84" s="355">
        <v>4849422</v>
      </c>
      <c r="M84" s="354">
        <v>4499661</v>
      </c>
      <c r="N84" s="355">
        <v>4336968</v>
      </c>
      <c r="O84" s="355">
        <v>4200093</v>
      </c>
      <c r="P84" s="355">
        <v>4124813</v>
      </c>
      <c r="Q84" s="355">
        <v>3828610</v>
      </c>
      <c r="R84" s="355">
        <v>3598084</v>
      </c>
      <c r="S84" s="355">
        <v>3589222</v>
      </c>
      <c r="T84" s="355">
        <v>3593792</v>
      </c>
      <c r="U84" s="59">
        <f t="shared" si="13"/>
        <v>3589222</v>
      </c>
      <c r="V84" s="59">
        <f t="shared" si="14"/>
        <v>4861753</v>
      </c>
      <c r="W84" s="59">
        <f t="shared" si="15"/>
        <v>4148241.8</v>
      </c>
      <c r="X84" s="60">
        <f t="shared" si="16"/>
        <v>73.91967465233219</v>
      </c>
      <c r="Y84" s="65">
        <v>83</v>
      </c>
      <c r="Z84" s="65" t="str">
        <f>_xlfn.IFERROR(INDEX('Tabela PW'!$C:$F,'Słownik PW'!C84,1),"")</f>
        <v/>
      </c>
      <c r="AA84" s="65" t="str">
        <f>_xlfn.IFERROR(INDEX('Tabela PW'!$C:$F,'Słownik PW'!C84,4),"")</f>
        <v/>
      </c>
      <c r="AB84" s="65" t="str">
        <f t="shared" si="12"/>
        <v/>
      </c>
      <c r="AC84" s="65" t="str">
        <f>_xlfn.IFERROR(INDEX('Tabela PW'!$K:$K,'Słownik PW'!C84,1),"")</f>
        <v/>
      </c>
      <c r="AD84" s="65" t="str">
        <f>_xlfn.IFERROR(INDEX('Tabela PW'!$L:$L,'Słownik PW'!C84,1),"")</f>
        <v/>
      </c>
      <c r="AE84" s="65" t="str">
        <f>_xlfn.IFERROR(INDEX('Tabela PW'!$M:$M,'Słownik PW'!C84,1),"")</f>
        <v/>
      </c>
      <c r="AF84" s="65" t="str">
        <f>_xlfn.IFERROR(INDEX('Tabela PW'!$N:$N,'Słownik PW'!C84,1),"")</f>
        <v/>
      </c>
      <c r="AG84" s="65" t="str">
        <f>_xlfn.IFERROR(INDEX('Tabela PW'!$O:$O,'Słownik PW'!C84,1),"")</f>
        <v/>
      </c>
      <c r="AH84" s="65" t="str">
        <f>_xlfn.IFERROR(INDEX('Tabela PW'!$P:$P,'Słownik PW'!C84,1),"")</f>
        <v/>
      </c>
      <c r="AI84" s="65" t="str">
        <f>_xlfn.IFERROR(INDEX('Tabela PW'!$Q:$Q,'Słownik PW'!C84,1),"")</f>
        <v/>
      </c>
      <c r="AJ84" s="65" t="str">
        <f>_xlfn.IFERROR(INDEX('Tabela PW'!$R:$R,'Słownik PW'!C84,1),"")</f>
        <v/>
      </c>
      <c r="AK84" s="65" t="str">
        <f>_xlfn.IFERROR(INDEX('Tabela PW'!$S:$S,'Słownik PW'!C84,1),"")</f>
        <v/>
      </c>
      <c r="AL84" s="65" t="str">
        <f>_xlfn.IFERROR(INDEX('Tabela PW'!$T:$T,'Słownik PW'!C84,1),"")</f>
        <v/>
      </c>
      <c r="AM84" s="65" t="str">
        <f>_xlfn.IFERROR(INDEX('Tabela PW'!$U:$X,'Słownik PW'!C84,1),"")</f>
        <v/>
      </c>
      <c r="AN84" s="65" t="str">
        <f>_xlfn.IFERROR(INDEX('Tabela PW'!$U:$X,'Słownik PW'!C84,2),"")</f>
        <v/>
      </c>
      <c r="AO84" s="66" t="str">
        <f>_xlfn.IFERROR(INDEX('Tabela PW'!$U:$X,'Słownik PW'!C84,3),"")</f>
        <v/>
      </c>
      <c r="AP84" s="67" t="str">
        <f>_xlfn.IFERROR(INDEX('Tabela PW'!$U:$X,'Słownik PW'!C84,4),"")</f>
        <v/>
      </c>
      <c r="AQ84" s="66" t="str">
        <f>_xlfn.IFERROR(INDEX('Tabela PW'!$U:$X,'Słownik PW'!C84,5),"")</f>
        <v/>
      </c>
      <c r="AR84" s="67" t="str">
        <f>_xlfn.IFERROR(INDEX('Tabela PW'!$U:$X,'Słownik PW'!C84,6),"")</f>
        <v/>
      </c>
      <c r="AS84" s="67" t="str">
        <f>_xlfn.IFERROR(INDEX('Tabela PW'!$U:$X,'Słownik PW'!C84,7),"")</f>
        <v/>
      </c>
      <c r="AT84" s="65"/>
      <c r="AU84" s="65"/>
      <c r="AV84" s="65"/>
      <c r="AW84" s="65"/>
      <c r="AX84" s="65"/>
      <c r="AY84" s="65"/>
      <c r="AZ84" s="65"/>
      <c r="BA84" s="65"/>
      <c r="BB84" s="65"/>
      <c r="BC84" s="65"/>
      <c r="BD84" s="65"/>
      <c r="BE84" s="65"/>
      <c r="BF84" s="65"/>
      <c r="BG84" s="65"/>
      <c r="BH84" s="68"/>
      <c r="BI84" s="65"/>
    </row>
    <row r="85" spans="1:61" ht="15">
      <c r="A85" s="4" t="s">
        <v>67</v>
      </c>
      <c r="B85" s="5" t="s">
        <v>671</v>
      </c>
      <c r="C85" s="49" t="s">
        <v>92</v>
      </c>
      <c r="D85" s="349">
        <f t="shared" si="11"/>
        <v>7</v>
      </c>
      <c r="E85" s="350" t="s">
        <v>790</v>
      </c>
      <c r="F85" s="51" t="s">
        <v>25</v>
      </c>
      <c r="G85" s="351" t="s">
        <v>683</v>
      </c>
      <c r="H85" s="351" t="s">
        <v>1546</v>
      </c>
      <c r="I85" s="351" t="s">
        <v>1547</v>
      </c>
      <c r="J85" s="351" t="s">
        <v>3783</v>
      </c>
      <c r="K85" s="354">
        <v>36</v>
      </c>
      <c r="L85" s="355">
        <v>23</v>
      </c>
      <c r="M85" s="354">
        <v>28</v>
      </c>
      <c r="N85" s="355">
        <v>22</v>
      </c>
      <c r="O85" s="355">
        <v>1694</v>
      </c>
      <c r="P85" s="355">
        <v>1987</v>
      </c>
      <c r="Q85" s="355">
        <v>2030</v>
      </c>
      <c r="R85" s="355">
        <v>4774</v>
      </c>
      <c r="S85" s="355">
        <v>4869</v>
      </c>
      <c r="T85" s="355">
        <v>5183</v>
      </c>
      <c r="U85" s="59">
        <f t="shared" si="13"/>
        <v>22</v>
      </c>
      <c r="V85" s="59">
        <f t="shared" si="14"/>
        <v>5183</v>
      </c>
      <c r="W85" s="59">
        <f t="shared" si="15"/>
        <v>2064.6</v>
      </c>
      <c r="X85" s="60">
        <f t="shared" si="16"/>
        <v>14397.222222222223</v>
      </c>
      <c r="Y85" s="65">
        <v>84</v>
      </c>
      <c r="Z85" s="65" t="str">
        <f>_xlfn.IFERROR(INDEX('Tabela PW'!$C:$F,'Słownik PW'!C85,1),"")</f>
        <v/>
      </c>
      <c r="AA85" s="65" t="str">
        <f>_xlfn.IFERROR(INDEX('Tabela PW'!$C:$F,'Słownik PW'!C85,4),"")</f>
        <v/>
      </c>
      <c r="AB85" s="65" t="str">
        <f t="shared" si="12"/>
        <v/>
      </c>
      <c r="AC85" s="65" t="str">
        <f>_xlfn.IFERROR(INDEX('Tabela PW'!$K:$K,'Słownik PW'!C85,1),"")</f>
        <v/>
      </c>
      <c r="AD85" s="65" t="str">
        <f>_xlfn.IFERROR(INDEX('Tabela PW'!$L:$L,'Słownik PW'!C85,1),"")</f>
        <v/>
      </c>
      <c r="AE85" s="65" t="str">
        <f>_xlfn.IFERROR(INDEX('Tabela PW'!$M:$M,'Słownik PW'!C85,1),"")</f>
        <v/>
      </c>
      <c r="AF85" s="65" t="str">
        <f>_xlfn.IFERROR(INDEX('Tabela PW'!$N:$N,'Słownik PW'!C85,1),"")</f>
        <v/>
      </c>
      <c r="AG85" s="65" t="str">
        <f>_xlfn.IFERROR(INDEX('Tabela PW'!$O:$O,'Słownik PW'!C85,1),"")</f>
        <v/>
      </c>
      <c r="AH85" s="65" t="str">
        <f>_xlfn.IFERROR(INDEX('Tabela PW'!$P:$P,'Słownik PW'!C85,1),"")</f>
        <v/>
      </c>
      <c r="AI85" s="65" t="str">
        <f>_xlfn.IFERROR(INDEX('Tabela PW'!$Q:$Q,'Słownik PW'!C85,1),"")</f>
        <v/>
      </c>
      <c r="AJ85" s="65" t="str">
        <f>_xlfn.IFERROR(INDEX('Tabela PW'!$R:$R,'Słownik PW'!C85,1),"")</f>
        <v/>
      </c>
      <c r="AK85" s="65" t="str">
        <f>_xlfn.IFERROR(INDEX('Tabela PW'!$S:$S,'Słownik PW'!C85,1),"")</f>
        <v/>
      </c>
      <c r="AL85" s="65" t="str">
        <f>_xlfn.IFERROR(INDEX('Tabela PW'!$T:$T,'Słownik PW'!C85,1),"")</f>
        <v/>
      </c>
      <c r="AM85" s="65" t="str">
        <f>_xlfn.IFERROR(INDEX('Tabela PW'!$U:$X,'Słownik PW'!C85,1),"")</f>
        <v/>
      </c>
      <c r="AN85" s="65" t="str">
        <f>_xlfn.IFERROR(INDEX('Tabela PW'!$U:$X,'Słownik PW'!C85,2),"")</f>
        <v/>
      </c>
      <c r="AO85" s="66" t="str">
        <f>_xlfn.IFERROR(INDEX('Tabela PW'!$U:$X,'Słownik PW'!C85,3),"")</f>
        <v/>
      </c>
      <c r="AP85" s="67" t="str">
        <f>_xlfn.IFERROR(INDEX('Tabela PW'!$U:$X,'Słownik PW'!C85,4),"")</f>
        <v/>
      </c>
      <c r="AQ85" s="66" t="str">
        <f>_xlfn.IFERROR(INDEX('Tabela PW'!$U:$X,'Słownik PW'!C85,5),"")</f>
        <v/>
      </c>
      <c r="AR85" s="67" t="str">
        <f>_xlfn.IFERROR(INDEX('Tabela PW'!$U:$X,'Słownik PW'!C85,6),"")</f>
        <v/>
      </c>
      <c r="AS85" s="67" t="str">
        <f>_xlfn.IFERROR(INDEX('Tabela PW'!$U:$X,'Słownik PW'!C85,7),"")</f>
        <v/>
      </c>
      <c r="AT85" s="65"/>
      <c r="AU85" s="65"/>
      <c r="AV85" s="65"/>
      <c r="AW85" s="65"/>
      <c r="AX85" s="65"/>
      <c r="AY85" s="65"/>
      <c r="AZ85" s="65"/>
      <c r="BA85" s="65"/>
      <c r="BB85" s="65"/>
      <c r="BC85" s="65"/>
      <c r="BD85" s="65"/>
      <c r="BE85" s="65"/>
      <c r="BF85" s="65"/>
      <c r="BG85" s="65"/>
      <c r="BH85" s="68"/>
      <c r="BI85" s="65"/>
    </row>
    <row r="86" spans="1:61" ht="15">
      <c r="A86" s="4" t="s">
        <v>67</v>
      </c>
      <c r="B86" s="5" t="s">
        <v>671</v>
      </c>
      <c r="C86" s="49" t="s">
        <v>93</v>
      </c>
      <c r="D86" s="349">
        <f t="shared" si="11"/>
        <v>4</v>
      </c>
      <c r="E86" s="350" t="s">
        <v>791</v>
      </c>
      <c r="F86" s="51" t="s">
        <v>74</v>
      </c>
      <c r="G86" s="351" t="s">
        <v>671</v>
      </c>
      <c r="H86" s="351" t="s">
        <v>1548</v>
      </c>
      <c r="I86" s="351" t="s">
        <v>1549</v>
      </c>
      <c r="J86" s="351" t="s">
        <v>3784</v>
      </c>
      <c r="K86" s="354">
        <v>2323221</v>
      </c>
      <c r="L86" s="355">
        <v>2332182</v>
      </c>
      <c r="M86" s="354">
        <v>2485055</v>
      </c>
      <c r="N86" s="355">
        <v>2599175</v>
      </c>
      <c r="O86" s="355">
        <v>2472991</v>
      </c>
      <c r="P86" s="355">
        <v>2648317</v>
      </c>
      <c r="Q86" s="355">
        <v>2890201</v>
      </c>
      <c r="R86" s="355">
        <v>2586358</v>
      </c>
      <c r="S86" s="355">
        <v>2841661</v>
      </c>
      <c r="T86" s="355">
        <v>2472996</v>
      </c>
      <c r="U86" s="59">
        <f t="shared" si="13"/>
        <v>2323221</v>
      </c>
      <c r="V86" s="59">
        <f t="shared" si="14"/>
        <v>2890201</v>
      </c>
      <c r="W86" s="59">
        <f t="shared" si="15"/>
        <v>2565215.7</v>
      </c>
      <c r="X86" s="60">
        <f t="shared" si="16"/>
        <v>106.44686837799762</v>
      </c>
      <c r="Y86" s="65">
        <v>85</v>
      </c>
      <c r="Z86" s="65" t="str">
        <f>_xlfn.IFERROR(INDEX('Tabela PW'!$C:$F,'Słownik PW'!C86,1),"")</f>
        <v/>
      </c>
      <c r="AA86" s="65" t="str">
        <f>_xlfn.IFERROR(INDEX('Tabela PW'!$C:$F,'Słownik PW'!C86,4),"")</f>
        <v/>
      </c>
      <c r="AB86" s="65" t="str">
        <f t="shared" si="12"/>
        <v/>
      </c>
      <c r="AC86" s="65" t="str">
        <f>_xlfn.IFERROR(INDEX('Tabela PW'!$K:$K,'Słownik PW'!C86,1),"")</f>
        <v/>
      </c>
      <c r="AD86" s="65" t="str">
        <f>_xlfn.IFERROR(INDEX('Tabela PW'!$L:$L,'Słownik PW'!C86,1),"")</f>
        <v/>
      </c>
      <c r="AE86" s="65" t="str">
        <f>_xlfn.IFERROR(INDEX('Tabela PW'!$M:$M,'Słownik PW'!C86,1),"")</f>
        <v/>
      </c>
      <c r="AF86" s="65" t="str">
        <f>_xlfn.IFERROR(INDEX('Tabela PW'!$N:$N,'Słownik PW'!C86,1),"")</f>
        <v/>
      </c>
      <c r="AG86" s="65" t="str">
        <f>_xlfn.IFERROR(INDEX('Tabela PW'!$O:$O,'Słownik PW'!C86,1),"")</f>
        <v/>
      </c>
      <c r="AH86" s="65" t="str">
        <f>_xlfn.IFERROR(INDEX('Tabela PW'!$P:$P,'Słownik PW'!C86,1),"")</f>
        <v/>
      </c>
      <c r="AI86" s="65" t="str">
        <f>_xlfn.IFERROR(INDEX('Tabela PW'!$Q:$Q,'Słownik PW'!C86,1),"")</f>
        <v/>
      </c>
      <c r="AJ86" s="65" t="str">
        <f>_xlfn.IFERROR(INDEX('Tabela PW'!$R:$R,'Słownik PW'!C86,1),"")</f>
        <v/>
      </c>
      <c r="AK86" s="65" t="str">
        <f>_xlfn.IFERROR(INDEX('Tabela PW'!$S:$S,'Słownik PW'!C86,1),"")</f>
        <v/>
      </c>
      <c r="AL86" s="65" t="str">
        <f>_xlfn.IFERROR(INDEX('Tabela PW'!$T:$T,'Słownik PW'!C86,1),"")</f>
        <v/>
      </c>
      <c r="AM86" s="65" t="str">
        <f>_xlfn.IFERROR(INDEX('Tabela PW'!$U:$X,'Słownik PW'!C86,1),"")</f>
        <v/>
      </c>
      <c r="AN86" s="65" t="str">
        <f>_xlfn.IFERROR(INDEX('Tabela PW'!$U:$X,'Słownik PW'!C86,2),"")</f>
        <v/>
      </c>
      <c r="AO86" s="66" t="str">
        <f>_xlfn.IFERROR(INDEX('Tabela PW'!$U:$X,'Słownik PW'!C86,3),"")</f>
        <v/>
      </c>
      <c r="AP86" s="67" t="str">
        <f>_xlfn.IFERROR(INDEX('Tabela PW'!$U:$X,'Słownik PW'!C86,4),"")</f>
        <v/>
      </c>
      <c r="AQ86" s="66" t="str">
        <f>_xlfn.IFERROR(INDEX('Tabela PW'!$U:$X,'Słownik PW'!C86,5),"")</f>
        <v/>
      </c>
      <c r="AR86" s="67" t="str">
        <f>_xlfn.IFERROR(INDEX('Tabela PW'!$U:$X,'Słownik PW'!C86,6),"")</f>
        <v/>
      </c>
      <c r="AS86" s="67" t="str">
        <f>_xlfn.IFERROR(INDEX('Tabela PW'!$U:$X,'Słownik PW'!C86,7),"")</f>
        <v/>
      </c>
      <c r="AT86" s="65"/>
      <c r="AU86" s="65"/>
      <c r="AV86" s="65"/>
      <c r="AW86" s="65"/>
      <c r="AX86" s="65"/>
      <c r="AY86" s="65"/>
      <c r="AZ86" s="65"/>
      <c r="BA86" s="65"/>
      <c r="BB86" s="65"/>
      <c r="BC86" s="65"/>
      <c r="BD86" s="65"/>
      <c r="BE86" s="65"/>
      <c r="BF86" s="65"/>
      <c r="BG86" s="65"/>
      <c r="BH86" s="68"/>
      <c r="BI86" s="65"/>
    </row>
    <row r="87" spans="1:61" ht="15">
      <c r="A87" s="4" t="s">
        <v>67</v>
      </c>
      <c r="B87" s="5" t="s">
        <v>671</v>
      </c>
      <c r="C87" s="49" t="s">
        <v>15</v>
      </c>
      <c r="D87" s="349">
        <f t="shared" si="11"/>
        <v>12</v>
      </c>
      <c r="E87" s="350" t="s">
        <v>792</v>
      </c>
      <c r="F87" s="51" t="s">
        <v>25</v>
      </c>
      <c r="G87" s="351" t="s">
        <v>683</v>
      </c>
      <c r="H87" s="351" t="s">
        <v>1550</v>
      </c>
      <c r="I87" s="351" t="s">
        <v>1551</v>
      </c>
      <c r="J87" s="351" t="s">
        <v>3785</v>
      </c>
      <c r="K87" s="354">
        <v>2230172</v>
      </c>
      <c r="L87" s="355">
        <v>2204437</v>
      </c>
      <c r="M87" s="354">
        <v>2207369</v>
      </c>
      <c r="N87" s="355">
        <v>2229570</v>
      </c>
      <c r="O87" s="355">
        <v>2261909</v>
      </c>
      <c r="P87" s="355">
        <v>2297305</v>
      </c>
      <c r="Q87" s="355">
        <v>2367689</v>
      </c>
      <c r="R87" s="355">
        <v>2408655</v>
      </c>
      <c r="S87" s="355">
        <v>2457145</v>
      </c>
      <c r="T87" s="355">
        <v>2438401</v>
      </c>
      <c r="U87" s="59">
        <f t="shared" si="13"/>
        <v>2204437</v>
      </c>
      <c r="V87" s="59">
        <f t="shared" si="14"/>
        <v>2457145</v>
      </c>
      <c r="W87" s="59">
        <f t="shared" si="15"/>
        <v>2310265.2</v>
      </c>
      <c r="X87" s="60">
        <f t="shared" si="16"/>
        <v>109.33690316262603</v>
      </c>
      <c r="Y87" s="65">
        <v>86</v>
      </c>
      <c r="Z87" s="65" t="str">
        <f>_xlfn.IFERROR(INDEX('Tabela PW'!$C:$F,'Słownik PW'!C87,1),"")</f>
        <v/>
      </c>
      <c r="AA87" s="65" t="str">
        <f>_xlfn.IFERROR(INDEX('Tabela PW'!$C:$F,'Słownik PW'!C87,4),"")</f>
        <v/>
      </c>
      <c r="AB87" s="65" t="str">
        <f t="shared" si="12"/>
        <v/>
      </c>
      <c r="AC87" s="65" t="str">
        <f>_xlfn.IFERROR(INDEX('Tabela PW'!$K:$K,'Słownik PW'!C87,1),"")</f>
        <v/>
      </c>
      <c r="AD87" s="65" t="str">
        <f>_xlfn.IFERROR(INDEX('Tabela PW'!$L:$L,'Słownik PW'!C87,1),"")</f>
        <v/>
      </c>
      <c r="AE87" s="65" t="str">
        <f>_xlfn.IFERROR(INDEX('Tabela PW'!$M:$M,'Słownik PW'!C87,1),"")</f>
        <v/>
      </c>
      <c r="AF87" s="65" t="str">
        <f>_xlfn.IFERROR(INDEX('Tabela PW'!$N:$N,'Słownik PW'!C87,1),"")</f>
        <v/>
      </c>
      <c r="AG87" s="65" t="str">
        <f>_xlfn.IFERROR(INDEX('Tabela PW'!$O:$O,'Słownik PW'!C87,1),"")</f>
        <v/>
      </c>
      <c r="AH87" s="65" t="str">
        <f>_xlfn.IFERROR(INDEX('Tabela PW'!$P:$P,'Słownik PW'!C87,1),"")</f>
        <v/>
      </c>
      <c r="AI87" s="65" t="str">
        <f>_xlfn.IFERROR(INDEX('Tabela PW'!$Q:$Q,'Słownik PW'!C87,1),"")</f>
        <v/>
      </c>
      <c r="AJ87" s="65" t="str">
        <f>_xlfn.IFERROR(INDEX('Tabela PW'!$R:$R,'Słownik PW'!C87,1),"")</f>
        <v/>
      </c>
      <c r="AK87" s="65" t="str">
        <f>_xlfn.IFERROR(INDEX('Tabela PW'!$S:$S,'Słownik PW'!C87,1),"")</f>
        <v/>
      </c>
      <c r="AL87" s="65" t="str">
        <f>_xlfn.IFERROR(INDEX('Tabela PW'!$T:$T,'Słownik PW'!C87,1),"")</f>
        <v/>
      </c>
      <c r="AM87" s="65" t="str">
        <f>_xlfn.IFERROR(INDEX('Tabela PW'!$U:$X,'Słownik PW'!C87,1),"")</f>
        <v/>
      </c>
      <c r="AN87" s="65" t="str">
        <f>_xlfn.IFERROR(INDEX('Tabela PW'!$U:$X,'Słownik PW'!C87,2),"")</f>
        <v/>
      </c>
      <c r="AO87" s="66" t="str">
        <f>_xlfn.IFERROR(INDEX('Tabela PW'!$U:$X,'Słownik PW'!C87,3),"")</f>
        <v/>
      </c>
      <c r="AP87" s="67" t="str">
        <f>_xlfn.IFERROR(INDEX('Tabela PW'!$U:$X,'Słownik PW'!C87,4),"")</f>
        <v/>
      </c>
      <c r="AQ87" s="66" t="str">
        <f>_xlfn.IFERROR(INDEX('Tabela PW'!$U:$X,'Słownik PW'!C87,5),"")</f>
        <v/>
      </c>
      <c r="AR87" s="67" t="str">
        <f>_xlfn.IFERROR(INDEX('Tabela PW'!$U:$X,'Słownik PW'!C87,6),"")</f>
        <v/>
      </c>
      <c r="AS87" s="67" t="str">
        <f>_xlfn.IFERROR(INDEX('Tabela PW'!$U:$X,'Słownik PW'!C87,7),"")</f>
        <v/>
      </c>
      <c r="AT87" s="65"/>
      <c r="AU87" s="65"/>
      <c r="AV87" s="65"/>
      <c r="AW87" s="65"/>
      <c r="AX87" s="65"/>
      <c r="AY87" s="65"/>
      <c r="AZ87" s="65"/>
      <c r="BA87" s="65"/>
      <c r="BB87" s="65"/>
      <c r="BC87" s="65"/>
      <c r="BD87" s="65"/>
      <c r="BE87" s="65"/>
      <c r="BF87" s="65"/>
      <c r="BG87" s="65"/>
      <c r="BH87" s="68"/>
      <c r="BI87" s="65"/>
    </row>
    <row r="88" spans="1:61" ht="15">
      <c r="A88" s="4" t="s">
        <v>67</v>
      </c>
      <c r="B88" s="5" t="s">
        <v>671</v>
      </c>
      <c r="C88" s="49" t="s">
        <v>16</v>
      </c>
      <c r="D88" s="349">
        <f t="shared" si="11"/>
        <v>11</v>
      </c>
      <c r="E88" s="350" t="s">
        <v>793</v>
      </c>
      <c r="F88" s="51" t="s">
        <v>25</v>
      </c>
      <c r="G88" s="351" t="s">
        <v>683</v>
      </c>
      <c r="H88" s="351" t="s">
        <v>1552</v>
      </c>
      <c r="I88" s="351" t="s">
        <v>1553</v>
      </c>
      <c r="J88" s="351" t="s">
        <v>3786</v>
      </c>
      <c r="K88" s="354">
        <v>200939</v>
      </c>
      <c r="L88" s="355">
        <v>215894</v>
      </c>
      <c r="M88" s="354">
        <v>218529</v>
      </c>
      <c r="N88" s="355">
        <v>220550</v>
      </c>
      <c r="O88" s="355">
        <v>232294</v>
      </c>
      <c r="P88" s="355">
        <v>244640</v>
      </c>
      <c r="Q88" s="355">
        <v>250138</v>
      </c>
      <c r="R88" s="355">
        <v>238225</v>
      </c>
      <c r="S88" s="355">
        <v>252878</v>
      </c>
      <c r="T88" s="355">
        <v>262748</v>
      </c>
      <c r="U88" s="59">
        <f t="shared" si="13"/>
        <v>200939</v>
      </c>
      <c r="V88" s="59">
        <f t="shared" si="14"/>
        <v>262748</v>
      </c>
      <c r="W88" s="59">
        <f t="shared" si="15"/>
        <v>233683.5</v>
      </c>
      <c r="X88" s="60">
        <f t="shared" si="16"/>
        <v>130.7600814177437</v>
      </c>
      <c r="Y88" s="65">
        <v>87</v>
      </c>
      <c r="Z88" s="65" t="str">
        <f>_xlfn.IFERROR(INDEX('Tabela PW'!$C:$F,'Słownik PW'!C88,1),"")</f>
        <v/>
      </c>
      <c r="AA88" s="65" t="str">
        <f>_xlfn.IFERROR(INDEX('Tabela PW'!$C:$F,'Słownik PW'!C88,4),"")</f>
        <v/>
      </c>
      <c r="AB88" s="65" t="str">
        <f t="shared" si="12"/>
        <v/>
      </c>
      <c r="AC88" s="65" t="str">
        <f>_xlfn.IFERROR(INDEX('Tabela PW'!$K:$K,'Słownik PW'!C88,1),"")</f>
        <v/>
      </c>
      <c r="AD88" s="65" t="str">
        <f>_xlfn.IFERROR(INDEX('Tabela PW'!$L:$L,'Słownik PW'!C88,1),"")</f>
        <v/>
      </c>
      <c r="AE88" s="65" t="str">
        <f>_xlfn.IFERROR(INDEX('Tabela PW'!$M:$M,'Słownik PW'!C88,1),"")</f>
        <v/>
      </c>
      <c r="AF88" s="65" t="str">
        <f>_xlfn.IFERROR(INDEX('Tabela PW'!$N:$N,'Słownik PW'!C88,1),"")</f>
        <v/>
      </c>
      <c r="AG88" s="65" t="str">
        <f>_xlfn.IFERROR(INDEX('Tabela PW'!$O:$O,'Słownik PW'!C88,1),"")</f>
        <v/>
      </c>
      <c r="AH88" s="65" t="str">
        <f>_xlfn.IFERROR(INDEX('Tabela PW'!$P:$P,'Słownik PW'!C88,1),"")</f>
        <v/>
      </c>
      <c r="AI88" s="65" t="str">
        <f>_xlfn.IFERROR(INDEX('Tabela PW'!$Q:$Q,'Słownik PW'!C88,1),"")</f>
        <v/>
      </c>
      <c r="AJ88" s="65" t="str">
        <f>_xlfn.IFERROR(INDEX('Tabela PW'!$R:$R,'Słownik PW'!C88,1),"")</f>
        <v/>
      </c>
      <c r="AK88" s="65" t="str">
        <f>_xlfn.IFERROR(INDEX('Tabela PW'!$S:$S,'Słownik PW'!C88,1),"")</f>
        <v/>
      </c>
      <c r="AL88" s="65" t="str">
        <f>_xlfn.IFERROR(INDEX('Tabela PW'!$T:$T,'Słownik PW'!C88,1),"")</f>
        <v/>
      </c>
      <c r="AM88" s="65" t="str">
        <f>_xlfn.IFERROR(INDEX('Tabela PW'!$U:$X,'Słownik PW'!C88,1),"")</f>
        <v/>
      </c>
      <c r="AN88" s="65" t="str">
        <f>_xlfn.IFERROR(INDEX('Tabela PW'!$U:$X,'Słownik PW'!C88,2),"")</f>
        <v/>
      </c>
      <c r="AO88" s="66" t="str">
        <f>_xlfn.IFERROR(INDEX('Tabela PW'!$U:$X,'Słownik PW'!C88,3),"")</f>
        <v/>
      </c>
      <c r="AP88" s="67" t="str">
        <f>_xlfn.IFERROR(INDEX('Tabela PW'!$U:$X,'Słownik PW'!C88,4),"")</f>
        <v/>
      </c>
      <c r="AQ88" s="66" t="str">
        <f>_xlfn.IFERROR(INDEX('Tabela PW'!$U:$X,'Słownik PW'!C88,5),"")</f>
        <v/>
      </c>
      <c r="AR88" s="67" t="str">
        <f>_xlfn.IFERROR(INDEX('Tabela PW'!$U:$X,'Słownik PW'!C88,6),"")</f>
        <v/>
      </c>
      <c r="AS88" s="67" t="str">
        <f>_xlfn.IFERROR(INDEX('Tabela PW'!$U:$X,'Słownik PW'!C88,7),"")</f>
        <v/>
      </c>
      <c r="AT88" s="65"/>
      <c r="AU88" s="65"/>
      <c r="AV88" s="65"/>
      <c r="AW88" s="65"/>
      <c r="AX88" s="65"/>
      <c r="AY88" s="65"/>
      <c r="AZ88" s="65"/>
      <c r="BA88" s="65"/>
      <c r="BB88" s="65"/>
      <c r="BC88" s="65"/>
      <c r="BD88" s="65"/>
      <c r="BE88" s="65"/>
      <c r="BF88" s="65"/>
      <c r="BG88" s="65"/>
      <c r="BH88" s="68"/>
      <c r="BI88" s="65"/>
    </row>
    <row r="89" spans="1:61" ht="15">
      <c r="A89" s="4" t="s">
        <v>67</v>
      </c>
      <c r="B89" s="5" t="s">
        <v>671</v>
      </c>
      <c r="C89" s="49" t="s">
        <v>17</v>
      </c>
      <c r="D89" s="349">
        <f t="shared" si="11"/>
        <v>25</v>
      </c>
      <c r="E89" s="350" t="s">
        <v>794</v>
      </c>
      <c r="F89" s="51" t="s">
        <v>25</v>
      </c>
      <c r="G89" s="351" t="s">
        <v>683</v>
      </c>
      <c r="H89" s="351" t="s">
        <v>1554</v>
      </c>
      <c r="I89" s="351" t="s">
        <v>1555</v>
      </c>
      <c r="J89" s="351" t="s">
        <v>3787</v>
      </c>
      <c r="K89" s="354">
        <v>36313</v>
      </c>
      <c r="L89" s="355">
        <v>32269</v>
      </c>
      <c r="M89" s="354">
        <v>31483</v>
      </c>
      <c r="N89" s="355">
        <v>26762</v>
      </c>
      <c r="O89" s="355">
        <v>21844</v>
      </c>
      <c r="P89" s="355">
        <v>17983</v>
      </c>
      <c r="Q89" s="355">
        <v>20985</v>
      </c>
      <c r="R89" s="355">
        <v>17188</v>
      </c>
      <c r="S89" s="355">
        <v>14880</v>
      </c>
      <c r="T89" s="355">
        <v>23665</v>
      </c>
      <c r="U89" s="59">
        <f t="shared" si="13"/>
        <v>14880</v>
      </c>
      <c r="V89" s="59">
        <f t="shared" si="14"/>
        <v>36313</v>
      </c>
      <c r="W89" s="59">
        <f t="shared" si="15"/>
        <v>24337.2</v>
      </c>
      <c r="X89" s="60">
        <f t="shared" si="16"/>
        <v>65.16949852669843</v>
      </c>
      <c r="Y89" s="65">
        <v>88</v>
      </c>
      <c r="Z89" s="65" t="str">
        <f>_xlfn.IFERROR(INDEX('Tabela PW'!$C:$F,'Słownik PW'!C89,1),"")</f>
        <v/>
      </c>
      <c r="AA89" s="65" t="str">
        <f>_xlfn.IFERROR(INDEX('Tabela PW'!$C:$F,'Słownik PW'!C89,4),"")</f>
        <v/>
      </c>
      <c r="AB89" s="65" t="str">
        <f t="shared" si="12"/>
        <v/>
      </c>
      <c r="AC89" s="65" t="str">
        <f>_xlfn.IFERROR(INDEX('Tabela PW'!$K:$K,'Słownik PW'!C89,1),"")</f>
        <v/>
      </c>
      <c r="AD89" s="65" t="str">
        <f>_xlfn.IFERROR(INDEX('Tabela PW'!$L:$L,'Słownik PW'!C89,1),"")</f>
        <v/>
      </c>
      <c r="AE89" s="65" t="str">
        <f>_xlfn.IFERROR(INDEX('Tabela PW'!$M:$M,'Słownik PW'!C89,1),"")</f>
        <v/>
      </c>
      <c r="AF89" s="65" t="str">
        <f>_xlfn.IFERROR(INDEX('Tabela PW'!$N:$N,'Słownik PW'!C89,1),"")</f>
        <v/>
      </c>
      <c r="AG89" s="65" t="str">
        <f>_xlfn.IFERROR(INDEX('Tabela PW'!$O:$O,'Słownik PW'!C89,1),"")</f>
        <v/>
      </c>
      <c r="AH89" s="65" t="str">
        <f>_xlfn.IFERROR(INDEX('Tabela PW'!$P:$P,'Słownik PW'!C89,1),"")</f>
        <v/>
      </c>
      <c r="AI89" s="65" t="str">
        <f>_xlfn.IFERROR(INDEX('Tabela PW'!$Q:$Q,'Słownik PW'!C89,1),"")</f>
        <v/>
      </c>
      <c r="AJ89" s="65" t="str">
        <f>_xlfn.IFERROR(INDEX('Tabela PW'!$R:$R,'Słownik PW'!C89,1),"")</f>
        <v/>
      </c>
      <c r="AK89" s="65" t="str">
        <f>_xlfn.IFERROR(INDEX('Tabela PW'!$S:$S,'Słownik PW'!C89,1),"")</f>
        <v/>
      </c>
      <c r="AL89" s="65" t="str">
        <f>_xlfn.IFERROR(INDEX('Tabela PW'!$T:$T,'Słownik PW'!C89,1),"")</f>
        <v/>
      </c>
      <c r="AM89" s="65" t="str">
        <f>_xlfn.IFERROR(INDEX('Tabela PW'!$U:$X,'Słownik PW'!C89,1),"")</f>
        <v/>
      </c>
      <c r="AN89" s="65" t="str">
        <f>_xlfn.IFERROR(INDEX('Tabela PW'!$U:$X,'Słownik PW'!C89,2),"")</f>
        <v/>
      </c>
      <c r="AO89" s="66" t="str">
        <f>_xlfn.IFERROR(INDEX('Tabela PW'!$U:$X,'Słownik PW'!C89,3),"")</f>
        <v/>
      </c>
      <c r="AP89" s="67" t="str">
        <f>_xlfn.IFERROR(INDEX('Tabela PW'!$U:$X,'Słownik PW'!C89,4),"")</f>
        <v/>
      </c>
      <c r="AQ89" s="66" t="str">
        <f>_xlfn.IFERROR(INDEX('Tabela PW'!$U:$X,'Słownik PW'!C89,5),"")</f>
        <v/>
      </c>
      <c r="AR89" s="67" t="str">
        <f>_xlfn.IFERROR(INDEX('Tabela PW'!$U:$X,'Słownik PW'!C89,6),"")</f>
        <v/>
      </c>
      <c r="AS89" s="67" t="str">
        <f>_xlfn.IFERROR(INDEX('Tabela PW'!$U:$X,'Słownik PW'!C89,7),"")</f>
        <v/>
      </c>
      <c r="AT89" s="65"/>
      <c r="AU89" s="65"/>
      <c r="AV89" s="65"/>
      <c r="AW89" s="65"/>
      <c r="AX89" s="65"/>
      <c r="AY89" s="65"/>
      <c r="AZ89" s="65"/>
      <c r="BA89" s="65"/>
      <c r="BB89" s="65"/>
      <c r="BC89" s="65"/>
      <c r="BD89" s="65"/>
      <c r="BE89" s="65"/>
      <c r="BF89" s="65"/>
      <c r="BG89" s="65"/>
      <c r="BH89" s="68"/>
      <c r="BI89" s="65"/>
    </row>
    <row r="90" spans="1:61" ht="15">
      <c r="A90" s="4" t="s">
        <v>67</v>
      </c>
      <c r="B90" s="5" t="s">
        <v>671</v>
      </c>
      <c r="C90" s="49" t="s">
        <v>18</v>
      </c>
      <c r="D90" s="349">
        <f t="shared" si="11"/>
        <v>26</v>
      </c>
      <c r="E90" s="350" t="s">
        <v>795</v>
      </c>
      <c r="F90" s="51" t="s">
        <v>25</v>
      </c>
      <c r="G90" s="351" t="s">
        <v>683</v>
      </c>
      <c r="H90" s="351" t="s">
        <v>1556</v>
      </c>
      <c r="I90" s="351" t="s">
        <v>1557</v>
      </c>
      <c r="J90" s="351" t="s">
        <v>3788</v>
      </c>
      <c r="K90" s="354">
        <v>27002</v>
      </c>
      <c r="L90" s="355">
        <v>32588</v>
      </c>
      <c r="M90" s="354">
        <v>21316</v>
      </c>
      <c r="N90" s="355">
        <v>25178</v>
      </c>
      <c r="O90" s="355">
        <v>22816</v>
      </c>
      <c r="P90" s="355">
        <v>24441</v>
      </c>
      <c r="Q90" s="355">
        <v>24317</v>
      </c>
      <c r="R90" s="355">
        <v>24279</v>
      </c>
      <c r="S90" s="355">
        <v>23233</v>
      </c>
      <c r="T90" s="355">
        <v>21222</v>
      </c>
      <c r="U90" s="59">
        <f t="shared" si="13"/>
        <v>21222</v>
      </c>
      <c r="V90" s="59">
        <f t="shared" si="14"/>
        <v>32588</v>
      </c>
      <c r="W90" s="59">
        <f t="shared" si="15"/>
        <v>24639.2</v>
      </c>
      <c r="X90" s="60">
        <f t="shared" si="16"/>
        <v>78.59417820902156</v>
      </c>
      <c r="Y90" s="65">
        <v>89</v>
      </c>
      <c r="Z90" s="65" t="str">
        <f>_xlfn.IFERROR(INDEX('Tabela PW'!$C:$F,'Słownik PW'!C90,1),"")</f>
        <v/>
      </c>
      <c r="AA90" s="65" t="str">
        <f>_xlfn.IFERROR(INDEX('Tabela PW'!$C:$F,'Słownik PW'!C90,4),"")</f>
        <v/>
      </c>
      <c r="AB90" s="65" t="str">
        <f t="shared" si="12"/>
        <v/>
      </c>
      <c r="AC90" s="65" t="str">
        <f>_xlfn.IFERROR(INDEX('Tabela PW'!$K:$K,'Słownik PW'!C90,1),"")</f>
        <v/>
      </c>
      <c r="AD90" s="65" t="str">
        <f>_xlfn.IFERROR(INDEX('Tabela PW'!$L:$L,'Słownik PW'!C90,1),"")</f>
        <v/>
      </c>
      <c r="AE90" s="65" t="str">
        <f>_xlfn.IFERROR(INDEX('Tabela PW'!$M:$M,'Słownik PW'!C90,1),"")</f>
        <v/>
      </c>
      <c r="AF90" s="65" t="str">
        <f>_xlfn.IFERROR(INDEX('Tabela PW'!$N:$N,'Słownik PW'!C90,1),"")</f>
        <v/>
      </c>
      <c r="AG90" s="65" t="str">
        <f>_xlfn.IFERROR(INDEX('Tabela PW'!$O:$O,'Słownik PW'!C90,1),"")</f>
        <v/>
      </c>
      <c r="AH90" s="65" t="str">
        <f>_xlfn.IFERROR(INDEX('Tabela PW'!$P:$P,'Słownik PW'!C90,1),"")</f>
        <v/>
      </c>
      <c r="AI90" s="65" t="str">
        <f>_xlfn.IFERROR(INDEX('Tabela PW'!$Q:$Q,'Słownik PW'!C90,1),"")</f>
        <v/>
      </c>
      <c r="AJ90" s="65" t="str">
        <f>_xlfn.IFERROR(INDEX('Tabela PW'!$R:$R,'Słownik PW'!C90,1),"")</f>
        <v/>
      </c>
      <c r="AK90" s="65" t="str">
        <f>_xlfn.IFERROR(INDEX('Tabela PW'!$S:$S,'Słownik PW'!C90,1),"")</f>
        <v/>
      </c>
      <c r="AL90" s="65" t="str">
        <f>_xlfn.IFERROR(INDEX('Tabela PW'!$T:$T,'Słownik PW'!C90,1),"")</f>
        <v/>
      </c>
      <c r="AM90" s="65" t="str">
        <f>_xlfn.IFERROR(INDEX('Tabela PW'!$U:$X,'Słownik PW'!C90,1),"")</f>
        <v/>
      </c>
      <c r="AN90" s="65" t="str">
        <f>_xlfn.IFERROR(INDEX('Tabela PW'!$U:$X,'Słownik PW'!C90,2),"")</f>
        <v/>
      </c>
      <c r="AO90" s="66" t="str">
        <f>_xlfn.IFERROR(INDEX('Tabela PW'!$U:$X,'Słownik PW'!C90,3),"")</f>
        <v/>
      </c>
      <c r="AP90" s="67" t="str">
        <f>_xlfn.IFERROR(INDEX('Tabela PW'!$U:$X,'Słownik PW'!C90,4),"")</f>
        <v/>
      </c>
      <c r="AQ90" s="66" t="str">
        <f>_xlfn.IFERROR(INDEX('Tabela PW'!$U:$X,'Słownik PW'!C90,5),"")</f>
        <v/>
      </c>
      <c r="AR90" s="67" t="str">
        <f>_xlfn.IFERROR(INDEX('Tabela PW'!$U:$X,'Słownik PW'!C90,6),"")</f>
        <v/>
      </c>
      <c r="AS90" s="67" t="str">
        <f>_xlfn.IFERROR(INDEX('Tabela PW'!$U:$X,'Słownik PW'!C90,7),"")</f>
        <v/>
      </c>
      <c r="AT90" s="65"/>
      <c r="AU90" s="65"/>
      <c r="AV90" s="65"/>
      <c r="AW90" s="65"/>
      <c r="AX90" s="65"/>
      <c r="AY90" s="65"/>
      <c r="AZ90" s="65"/>
      <c r="BA90" s="65"/>
      <c r="BB90" s="65"/>
      <c r="BC90" s="65"/>
      <c r="BD90" s="65"/>
      <c r="BE90" s="65"/>
      <c r="BF90" s="65"/>
      <c r="BG90" s="65"/>
      <c r="BH90" s="68"/>
      <c r="BI90" s="65"/>
    </row>
    <row r="91" spans="1:61" ht="15">
      <c r="A91" s="4" t="s">
        <v>67</v>
      </c>
      <c r="B91" s="5" t="s">
        <v>671</v>
      </c>
      <c r="C91" s="49" t="s">
        <v>19</v>
      </c>
      <c r="D91" s="349">
        <f t="shared" si="11"/>
        <v>24</v>
      </c>
      <c r="E91" s="350" t="s">
        <v>796</v>
      </c>
      <c r="F91" s="51" t="s">
        <v>25</v>
      </c>
      <c r="G91" s="351" t="s">
        <v>683</v>
      </c>
      <c r="H91" s="351" t="s">
        <v>1558</v>
      </c>
      <c r="I91" s="351" t="s">
        <v>1559</v>
      </c>
      <c r="J91" s="351" t="s">
        <v>3789</v>
      </c>
      <c r="K91" s="354">
        <v>12010</v>
      </c>
      <c r="L91" s="355">
        <v>8709</v>
      </c>
      <c r="M91" s="354">
        <v>11806</v>
      </c>
      <c r="N91" s="355">
        <v>9514</v>
      </c>
      <c r="O91" s="355">
        <v>7320</v>
      </c>
      <c r="P91" s="355">
        <v>6736</v>
      </c>
      <c r="Q91" s="355">
        <v>8340</v>
      </c>
      <c r="R91" s="355">
        <v>12104</v>
      </c>
      <c r="S91" s="355">
        <v>9119</v>
      </c>
      <c r="T91" s="355">
        <v>10412</v>
      </c>
      <c r="U91" s="59">
        <f t="shared" si="13"/>
        <v>6736</v>
      </c>
      <c r="V91" s="59">
        <f t="shared" si="14"/>
        <v>12104</v>
      </c>
      <c r="W91" s="59">
        <f t="shared" si="15"/>
        <v>9607</v>
      </c>
      <c r="X91" s="60">
        <f t="shared" si="16"/>
        <v>86.69442131557035</v>
      </c>
      <c r="Y91" s="65">
        <v>90</v>
      </c>
      <c r="Z91" s="65" t="str">
        <f>_xlfn.IFERROR(INDEX('Tabela PW'!$C:$F,'Słownik PW'!C91,1),"")</f>
        <v/>
      </c>
      <c r="AA91" s="65" t="str">
        <f>_xlfn.IFERROR(INDEX('Tabela PW'!$C:$F,'Słownik PW'!C91,4),"")</f>
        <v/>
      </c>
      <c r="AB91" s="65" t="str">
        <f t="shared" si="12"/>
        <v/>
      </c>
      <c r="AC91" s="65" t="str">
        <f>_xlfn.IFERROR(INDEX('Tabela PW'!$K:$K,'Słownik PW'!C91,1),"")</f>
        <v/>
      </c>
      <c r="AD91" s="65" t="str">
        <f>_xlfn.IFERROR(INDEX('Tabela PW'!$L:$L,'Słownik PW'!C91,1),"")</f>
        <v/>
      </c>
      <c r="AE91" s="65" t="str">
        <f>_xlfn.IFERROR(INDEX('Tabela PW'!$M:$M,'Słownik PW'!C91,1),"")</f>
        <v/>
      </c>
      <c r="AF91" s="65" t="str">
        <f>_xlfn.IFERROR(INDEX('Tabela PW'!$N:$N,'Słownik PW'!C91,1),"")</f>
        <v/>
      </c>
      <c r="AG91" s="65" t="str">
        <f>_xlfn.IFERROR(INDEX('Tabela PW'!$O:$O,'Słownik PW'!C91,1),"")</f>
        <v/>
      </c>
      <c r="AH91" s="65" t="str">
        <f>_xlfn.IFERROR(INDEX('Tabela PW'!$P:$P,'Słownik PW'!C91,1),"")</f>
        <v/>
      </c>
      <c r="AI91" s="65" t="str">
        <f>_xlfn.IFERROR(INDEX('Tabela PW'!$Q:$Q,'Słownik PW'!C91,1),"")</f>
        <v/>
      </c>
      <c r="AJ91" s="65" t="str">
        <f>_xlfn.IFERROR(INDEX('Tabela PW'!$R:$R,'Słownik PW'!C91,1),"")</f>
        <v/>
      </c>
      <c r="AK91" s="65" t="str">
        <f>_xlfn.IFERROR(INDEX('Tabela PW'!$S:$S,'Słownik PW'!C91,1),"")</f>
        <v/>
      </c>
      <c r="AL91" s="65" t="str">
        <f>_xlfn.IFERROR(INDEX('Tabela PW'!$T:$T,'Słownik PW'!C91,1),"")</f>
        <v/>
      </c>
      <c r="AM91" s="65" t="str">
        <f>_xlfn.IFERROR(INDEX('Tabela PW'!$U:$X,'Słownik PW'!C91,1),"")</f>
        <v/>
      </c>
      <c r="AN91" s="65" t="str">
        <f>_xlfn.IFERROR(INDEX('Tabela PW'!$U:$X,'Słownik PW'!C91,2),"")</f>
        <v/>
      </c>
      <c r="AO91" s="66" t="str">
        <f>_xlfn.IFERROR(INDEX('Tabela PW'!$U:$X,'Słownik PW'!C91,3),"")</f>
        <v/>
      </c>
      <c r="AP91" s="67" t="str">
        <f>_xlfn.IFERROR(INDEX('Tabela PW'!$U:$X,'Słownik PW'!C91,4),"")</f>
        <v/>
      </c>
      <c r="AQ91" s="66" t="str">
        <f>_xlfn.IFERROR(INDEX('Tabela PW'!$U:$X,'Słownik PW'!C91,5),"")</f>
        <v/>
      </c>
      <c r="AR91" s="67" t="str">
        <f>_xlfn.IFERROR(INDEX('Tabela PW'!$U:$X,'Słownik PW'!C91,6),"")</f>
        <v/>
      </c>
      <c r="AS91" s="67" t="str">
        <f>_xlfn.IFERROR(INDEX('Tabela PW'!$U:$X,'Słownik PW'!C91,7),"")</f>
        <v/>
      </c>
      <c r="AT91" s="65"/>
      <c r="AU91" s="65"/>
      <c r="AV91" s="65"/>
      <c r="AW91" s="65"/>
      <c r="AX91" s="65"/>
      <c r="AY91" s="65"/>
      <c r="AZ91" s="65"/>
      <c r="BA91" s="65"/>
      <c r="BB91" s="65"/>
      <c r="BC91" s="65"/>
      <c r="BD91" s="65"/>
      <c r="BE91" s="65"/>
      <c r="BF91" s="65"/>
      <c r="BG91" s="65"/>
      <c r="BH91" s="68"/>
      <c r="BI91" s="65"/>
    </row>
    <row r="92" spans="1:61" ht="15">
      <c r="A92" s="4" t="s">
        <v>67</v>
      </c>
      <c r="B92" s="5" t="s">
        <v>671</v>
      </c>
      <c r="C92" s="49" t="s">
        <v>20</v>
      </c>
      <c r="D92" s="349">
        <f t="shared" si="11"/>
        <v>20</v>
      </c>
      <c r="E92" s="350" t="s">
        <v>797</v>
      </c>
      <c r="F92" s="51" t="s">
        <v>25</v>
      </c>
      <c r="G92" s="351" t="s">
        <v>683</v>
      </c>
      <c r="H92" s="351" t="s">
        <v>1560</v>
      </c>
      <c r="I92" s="351" t="s">
        <v>1561</v>
      </c>
      <c r="J92" s="351" t="s">
        <v>3790</v>
      </c>
      <c r="K92" s="354">
        <v>76883</v>
      </c>
      <c r="L92" s="355">
        <v>110532</v>
      </c>
      <c r="M92" s="354">
        <v>127777</v>
      </c>
      <c r="N92" s="355">
        <v>112282</v>
      </c>
      <c r="O92" s="355">
        <v>140609</v>
      </c>
      <c r="P92" s="355">
        <v>138346</v>
      </c>
      <c r="Q92" s="355">
        <v>194825</v>
      </c>
      <c r="R92" s="355">
        <v>200424</v>
      </c>
      <c r="S92" s="355">
        <v>177011</v>
      </c>
      <c r="T92" s="355">
        <v>145725</v>
      </c>
      <c r="U92" s="59">
        <f t="shared" si="13"/>
        <v>76883</v>
      </c>
      <c r="V92" s="59">
        <f t="shared" si="14"/>
        <v>200424</v>
      </c>
      <c r="W92" s="59">
        <f t="shared" si="15"/>
        <v>142441.4</v>
      </c>
      <c r="X92" s="60">
        <f t="shared" si="16"/>
        <v>189.5412509917667</v>
      </c>
      <c r="Y92" s="65">
        <v>91</v>
      </c>
      <c r="Z92" s="65" t="str">
        <f>_xlfn.IFERROR(INDEX('Tabela PW'!$C:$F,'Słownik PW'!C92,1),"")</f>
        <v/>
      </c>
      <c r="AA92" s="65" t="str">
        <f>_xlfn.IFERROR(INDEX('Tabela PW'!$C:$F,'Słownik PW'!C92,4),"")</f>
        <v/>
      </c>
      <c r="AB92" s="65" t="str">
        <f t="shared" si="12"/>
        <v/>
      </c>
      <c r="AC92" s="65" t="str">
        <f>_xlfn.IFERROR(INDEX('Tabela PW'!$K:$K,'Słownik PW'!C92,1),"")</f>
        <v/>
      </c>
      <c r="AD92" s="65" t="str">
        <f>_xlfn.IFERROR(INDEX('Tabela PW'!$L:$L,'Słownik PW'!C92,1),"")</f>
        <v/>
      </c>
      <c r="AE92" s="65" t="str">
        <f>_xlfn.IFERROR(INDEX('Tabela PW'!$M:$M,'Słownik PW'!C92,1),"")</f>
        <v/>
      </c>
      <c r="AF92" s="65" t="str">
        <f>_xlfn.IFERROR(INDEX('Tabela PW'!$N:$N,'Słownik PW'!C92,1),"")</f>
        <v/>
      </c>
      <c r="AG92" s="65" t="str">
        <f>_xlfn.IFERROR(INDEX('Tabela PW'!$O:$O,'Słownik PW'!C92,1),"")</f>
        <v/>
      </c>
      <c r="AH92" s="65" t="str">
        <f>_xlfn.IFERROR(INDEX('Tabela PW'!$P:$P,'Słownik PW'!C92,1),"")</f>
        <v/>
      </c>
      <c r="AI92" s="65" t="str">
        <f>_xlfn.IFERROR(INDEX('Tabela PW'!$Q:$Q,'Słownik PW'!C92,1),"")</f>
        <v/>
      </c>
      <c r="AJ92" s="65" t="str">
        <f>_xlfn.IFERROR(INDEX('Tabela PW'!$R:$R,'Słownik PW'!C92,1),"")</f>
        <v/>
      </c>
      <c r="AK92" s="65" t="str">
        <f>_xlfn.IFERROR(INDEX('Tabela PW'!$S:$S,'Słownik PW'!C92,1),"")</f>
        <v/>
      </c>
      <c r="AL92" s="65" t="str">
        <f>_xlfn.IFERROR(INDEX('Tabela PW'!$T:$T,'Słownik PW'!C92,1),"")</f>
        <v/>
      </c>
      <c r="AM92" s="65" t="str">
        <f>_xlfn.IFERROR(INDEX('Tabela PW'!$U:$X,'Słownik PW'!C92,1),"")</f>
        <v/>
      </c>
      <c r="AN92" s="65" t="str">
        <f>_xlfn.IFERROR(INDEX('Tabela PW'!$U:$X,'Słownik PW'!C92,2),"")</f>
        <v/>
      </c>
      <c r="AO92" s="66" t="str">
        <f>_xlfn.IFERROR(INDEX('Tabela PW'!$U:$X,'Słownik PW'!C92,3),"")</f>
        <v/>
      </c>
      <c r="AP92" s="67" t="str">
        <f>_xlfn.IFERROR(INDEX('Tabela PW'!$U:$X,'Słownik PW'!C92,4),"")</f>
        <v/>
      </c>
      <c r="AQ92" s="66" t="str">
        <f>_xlfn.IFERROR(INDEX('Tabela PW'!$U:$X,'Słownik PW'!C92,5),"")</f>
        <v/>
      </c>
      <c r="AR92" s="67" t="str">
        <f>_xlfn.IFERROR(INDEX('Tabela PW'!$U:$X,'Słownik PW'!C92,6),"")</f>
        <v/>
      </c>
      <c r="AS92" s="67" t="str">
        <f>_xlfn.IFERROR(INDEX('Tabela PW'!$U:$X,'Słownik PW'!C92,7),"")</f>
        <v/>
      </c>
      <c r="AT92" s="65"/>
      <c r="AU92" s="65"/>
      <c r="AV92" s="65"/>
      <c r="AW92" s="65"/>
      <c r="AX92" s="65"/>
      <c r="AY92" s="65"/>
      <c r="AZ92" s="65"/>
      <c r="BA92" s="65"/>
      <c r="BB92" s="65"/>
      <c r="BC92" s="65"/>
      <c r="BD92" s="65"/>
      <c r="BE92" s="65"/>
      <c r="BF92" s="65"/>
      <c r="BG92" s="65"/>
      <c r="BH92" s="68"/>
      <c r="BI92" s="65"/>
    </row>
    <row r="93" spans="1:61" ht="15">
      <c r="A93" s="4" t="s">
        <v>67</v>
      </c>
      <c r="B93" s="5" t="s">
        <v>671</v>
      </c>
      <c r="C93" s="49" t="s">
        <v>94</v>
      </c>
      <c r="D93" s="349">
        <f t="shared" si="11"/>
        <v>15</v>
      </c>
      <c r="E93" s="350" t="s">
        <v>798</v>
      </c>
      <c r="F93" s="51" t="s">
        <v>25</v>
      </c>
      <c r="G93" s="351" t="s">
        <v>683</v>
      </c>
      <c r="H93" s="351" t="s">
        <v>1562</v>
      </c>
      <c r="I93" s="351" t="s">
        <v>1563</v>
      </c>
      <c r="J93" s="351" t="s">
        <v>3791</v>
      </c>
      <c r="K93" s="354">
        <v>1669926</v>
      </c>
      <c r="L93" s="355">
        <v>1596245</v>
      </c>
      <c r="M93" s="354">
        <v>1622262</v>
      </c>
      <c r="N93" s="355">
        <v>1689602</v>
      </c>
      <c r="O93" s="355">
        <v>1569891</v>
      </c>
      <c r="P93" s="355">
        <v>1588242</v>
      </c>
      <c r="Q93" s="355">
        <v>1590823</v>
      </c>
      <c r="R93" s="355">
        <v>1548987</v>
      </c>
      <c r="S93" s="355">
        <v>1519003</v>
      </c>
      <c r="T93" s="355">
        <v>1470412</v>
      </c>
      <c r="U93" s="59">
        <f t="shared" si="13"/>
        <v>1470412</v>
      </c>
      <c r="V93" s="59">
        <f t="shared" si="14"/>
        <v>1689602</v>
      </c>
      <c r="W93" s="59">
        <f t="shared" si="15"/>
        <v>1586539.3</v>
      </c>
      <c r="X93" s="60">
        <f t="shared" si="16"/>
        <v>88.0525244831208</v>
      </c>
      <c r="Y93" s="65">
        <v>92</v>
      </c>
      <c r="Z93" s="65" t="str">
        <f>_xlfn.IFERROR(INDEX('Tabela PW'!$C:$F,'Słownik PW'!C93,1),"")</f>
        <v/>
      </c>
      <c r="AA93" s="65" t="str">
        <f>_xlfn.IFERROR(INDEX('Tabela PW'!$C:$F,'Słownik PW'!C93,4),"")</f>
        <v/>
      </c>
      <c r="AB93" s="65" t="str">
        <f t="shared" si="12"/>
        <v/>
      </c>
      <c r="AC93" s="65" t="str">
        <f>_xlfn.IFERROR(INDEX('Tabela PW'!$K:$K,'Słownik PW'!C93,1),"")</f>
        <v/>
      </c>
      <c r="AD93" s="65" t="str">
        <f>_xlfn.IFERROR(INDEX('Tabela PW'!$L:$L,'Słownik PW'!C93,1),"")</f>
        <v/>
      </c>
      <c r="AE93" s="65" t="str">
        <f>_xlfn.IFERROR(INDEX('Tabela PW'!$M:$M,'Słownik PW'!C93,1),"")</f>
        <v/>
      </c>
      <c r="AF93" s="65" t="str">
        <f>_xlfn.IFERROR(INDEX('Tabela PW'!$N:$N,'Słownik PW'!C93,1),"")</f>
        <v/>
      </c>
      <c r="AG93" s="65" t="str">
        <f>_xlfn.IFERROR(INDEX('Tabela PW'!$O:$O,'Słownik PW'!C93,1),"")</f>
        <v/>
      </c>
      <c r="AH93" s="65" t="str">
        <f>_xlfn.IFERROR(INDEX('Tabela PW'!$P:$P,'Słownik PW'!C93,1),"")</f>
        <v/>
      </c>
      <c r="AI93" s="65" t="str">
        <f>_xlfn.IFERROR(INDEX('Tabela PW'!$Q:$Q,'Słownik PW'!C93,1),"")</f>
        <v/>
      </c>
      <c r="AJ93" s="65" t="str">
        <f>_xlfn.IFERROR(INDEX('Tabela PW'!$R:$R,'Słownik PW'!C93,1),"")</f>
        <v/>
      </c>
      <c r="AK93" s="65" t="str">
        <f>_xlfn.IFERROR(INDEX('Tabela PW'!$S:$S,'Słownik PW'!C93,1),"")</f>
        <v/>
      </c>
      <c r="AL93" s="65" t="str">
        <f>_xlfn.IFERROR(INDEX('Tabela PW'!$T:$T,'Słownik PW'!C93,1),"")</f>
        <v/>
      </c>
      <c r="AM93" s="65" t="str">
        <f>_xlfn.IFERROR(INDEX('Tabela PW'!$U:$X,'Słownik PW'!C93,1),"")</f>
        <v/>
      </c>
      <c r="AN93" s="65" t="str">
        <f>_xlfn.IFERROR(INDEX('Tabela PW'!$U:$X,'Słownik PW'!C93,2),"")</f>
        <v/>
      </c>
      <c r="AO93" s="66" t="str">
        <f>_xlfn.IFERROR(INDEX('Tabela PW'!$U:$X,'Słownik PW'!C93,3),"")</f>
        <v/>
      </c>
      <c r="AP93" s="67" t="str">
        <f>_xlfn.IFERROR(INDEX('Tabela PW'!$U:$X,'Słownik PW'!C93,4),"")</f>
        <v/>
      </c>
      <c r="AQ93" s="66" t="str">
        <f>_xlfn.IFERROR(INDEX('Tabela PW'!$U:$X,'Słownik PW'!C93,5),"")</f>
        <v/>
      </c>
      <c r="AR93" s="67" t="str">
        <f>_xlfn.IFERROR(INDEX('Tabela PW'!$U:$X,'Słownik PW'!C93,6),"")</f>
        <v/>
      </c>
      <c r="AS93" s="67" t="str">
        <f>_xlfn.IFERROR(INDEX('Tabela PW'!$U:$X,'Słownik PW'!C93,7),"")</f>
        <v/>
      </c>
      <c r="AT93" s="65"/>
      <c r="AU93" s="65"/>
      <c r="AV93" s="65"/>
      <c r="AW93" s="65"/>
      <c r="AX93" s="65"/>
      <c r="AY93" s="65"/>
      <c r="AZ93" s="65"/>
      <c r="BA93" s="65"/>
      <c r="BB93" s="65"/>
      <c r="BC93" s="65"/>
      <c r="BD93" s="65"/>
      <c r="BE93" s="65"/>
      <c r="BF93" s="65"/>
      <c r="BG93" s="65"/>
      <c r="BH93" s="68"/>
      <c r="BI93" s="65"/>
    </row>
    <row r="94" spans="1:61" ht="15">
      <c r="A94" s="4" t="s">
        <v>67</v>
      </c>
      <c r="B94" s="5" t="s">
        <v>671</v>
      </c>
      <c r="C94" s="49" t="s">
        <v>95</v>
      </c>
      <c r="D94" s="349">
        <f t="shared" si="11"/>
        <v>15</v>
      </c>
      <c r="E94" s="350" t="s">
        <v>799</v>
      </c>
      <c r="F94" s="51" t="s">
        <v>25</v>
      </c>
      <c r="G94" s="351" t="s">
        <v>683</v>
      </c>
      <c r="H94" s="351" t="s">
        <v>1564</v>
      </c>
      <c r="I94" s="351" t="s">
        <v>1565</v>
      </c>
      <c r="J94" s="351" t="s">
        <v>3792</v>
      </c>
      <c r="K94" s="354">
        <v>86893</v>
      </c>
      <c r="L94" s="355">
        <v>87399</v>
      </c>
      <c r="M94" s="354">
        <v>87663</v>
      </c>
      <c r="N94" s="355">
        <v>83837</v>
      </c>
      <c r="O94" s="355">
        <v>82501</v>
      </c>
      <c r="P94" s="355">
        <v>90574</v>
      </c>
      <c r="Q94" s="355">
        <v>93631</v>
      </c>
      <c r="R94" s="355">
        <v>95533</v>
      </c>
      <c r="S94" s="355">
        <v>95694</v>
      </c>
      <c r="T94" s="355">
        <v>93880</v>
      </c>
      <c r="U94" s="59">
        <f t="shared" si="13"/>
        <v>82501</v>
      </c>
      <c r="V94" s="59">
        <f t="shared" si="14"/>
        <v>95694</v>
      </c>
      <c r="W94" s="59">
        <f t="shared" si="15"/>
        <v>89760.5</v>
      </c>
      <c r="X94" s="60">
        <f t="shared" si="16"/>
        <v>108.04092389490523</v>
      </c>
      <c r="Y94" s="65">
        <v>93</v>
      </c>
      <c r="Z94" s="65" t="str">
        <f>_xlfn.IFERROR(INDEX('Tabela PW'!$C:$F,'Słownik PW'!C94,1),"")</f>
        <v/>
      </c>
      <c r="AA94" s="65" t="str">
        <f>_xlfn.IFERROR(INDEX('Tabela PW'!$C:$F,'Słownik PW'!C94,4),"")</f>
        <v/>
      </c>
      <c r="AB94" s="65" t="str">
        <f t="shared" si="12"/>
        <v/>
      </c>
      <c r="AC94" s="65" t="str">
        <f>_xlfn.IFERROR(INDEX('Tabela PW'!$K:$K,'Słownik PW'!C94,1),"")</f>
        <v/>
      </c>
      <c r="AD94" s="65" t="str">
        <f>_xlfn.IFERROR(INDEX('Tabela PW'!$L:$L,'Słownik PW'!C94,1),"")</f>
        <v/>
      </c>
      <c r="AE94" s="65" t="str">
        <f>_xlfn.IFERROR(INDEX('Tabela PW'!$M:$M,'Słownik PW'!C94,1),"")</f>
        <v/>
      </c>
      <c r="AF94" s="65" t="str">
        <f>_xlfn.IFERROR(INDEX('Tabela PW'!$N:$N,'Słownik PW'!C94,1),"")</f>
        <v/>
      </c>
      <c r="AG94" s="65" t="str">
        <f>_xlfn.IFERROR(INDEX('Tabela PW'!$O:$O,'Słownik PW'!C94,1),"")</f>
        <v/>
      </c>
      <c r="AH94" s="65" t="str">
        <f>_xlfn.IFERROR(INDEX('Tabela PW'!$P:$P,'Słownik PW'!C94,1),"")</f>
        <v/>
      </c>
      <c r="AI94" s="65" t="str">
        <f>_xlfn.IFERROR(INDEX('Tabela PW'!$Q:$Q,'Słownik PW'!C94,1),"")</f>
        <v/>
      </c>
      <c r="AJ94" s="65" t="str">
        <f>_xlfn.IFERROR(INDEX('Tabela PW'!$R:$R,'Słownik PW'!C94,1),"")</f>
        <v/>
      </c>
      <c r="AK94" s="65" t="str">
        <f>_xlfn.IFERROR(INDEX('Tabela PW'!$S:$S,'Słownik PW'!C94,1),"")</f>
        <v/>
      </c>
      <c r="AL94" s="65" t="str">
        <f>_xlfn.IFERROR(INDEX('Tabela PW'!$T:$T,'Słownik PW'!C94,1),"")</f>
        <v/>
      </c>
      <c r="AM94" s="65" t="str">
        <f>_xlfn.IFERROR(INDEX('Tabela PW'!$U:$X,'Słownik PW'!C94,1),"")</f>
        <v/>
      </c>
      <c r="AN94" s="65" t="str">
        <f>_xlfn.IFERROR(INDEX('Tabela PW'!$U:$X,'Słownik PW'!C94,2),"")</f>
        <v/>
      </c>
      <c r="AO94" s="66" t="str">
        <f>_xlfn.IFERROR(INDEX('Tabela PW'!$U:$X,'Słownik PW'!C94,3),"")</f>
        <v/>
      </c>
      <c r="AP94" s="67" t="str">
        <f>_xlfn.IFERROR(INDEX('Tabela PW'!$U:$X,'Słownik PW'!C94,4),"")</f>
        <v/>
      </c>
      <c r="AQ94" s="66" t="str">
        <f>_xlfn.IFERROR(INDEX('Tabela PW'!$U:$X,'Słownik PW'!C94,5),"")</f>
        <v/>
      </c>
      <c r="AR94" s="67" t="str">
        <f>_xlfn.IFERROR(INDEX('Tabela PW'!$U:$X,'Słownik PW'!C94,6),"")</f>
        <v/>
      </c>
      <c r="AS94" s="67" t="str">
        <f>_xlfn.IFERROR(INDEX('Tabela PW'!$U:$X,'Słownik PW'!C94,7),"")</f>
        <v/>
      </c>
      <c r="AT94" s="65"/>
      <c r="AU94" s="65"/>
      <c r="AV94" s="65"/>
      <c r="AW94" s="65"/>
      <c r="AX94" s="65"/>
      <c r="AY94" s="65"/>
      <c r="AZ94" s="65"/>
      <c r="BA94" s="65"/>
      <c r="BB94" s="65"/>
      <c r="BC94" s="65"/>
      <c r="BD94" s="65"/>
      <c r="BE94" s="65"/>
      <c r="BF94" s="65"/>
      <c r="BG94" s="65"/>
      <c r="BH94" s="68"/>
      <c r="BI94" s="65"/>
    </row>
    <row r="95" spans="1:61" ht="15">
      <c r="A95" s="4" t="s">
        <v>67</v>
      </c>
      <c r="B95" s="5" t="s">
        <v>671</v>
      </c>
      <c r="C95" s="49" t="s">
        <v>96</v>
      </c>
      <c r="D95" s="349">
        <f t="shared" si="11"/>
        <v>16</v>
      </c>
      <c r="E95" s="350" t="s">
        <v>800</v>
      </c>
      <c r="F95" s="51" t="s">
        <v>25</v>
      </c>
      <c r="G95" s="351" t="s">
        <v>683</v>
      </c>
      <c r="H95" s="351" t="s">
        <v>1566</v>
      </c>
      <c r="I95" s="351" t="s">
        <v>1567</v>
      </c>
      <c r="J95" s="351" t="s">
        <v>3793</v>
      </c>
      <c r="K95" s="354">
        <v>521552</v>
      </c>
      <c r="L95" s="355">
        <v>519831</v>
      </c>
      <c r="M95" s="354">
        <v>526314</v>
      </c>
      <c r="N95" s="355">
        <v>513324</v>
      </c>
      <c r="O95" s="355">
        <v>509011</v>
      </c>
      <c r="P95" s="355">
        <v>505637</v>
      </c>
      <c r="Q95" s="355">
        <v>527144</v>
      </c>
      <c r="R95" s="355">
        <v>529979</v>
      </c>
      <c r="S95" s="355">
        <v>541323</v>
      </c>
      <c r="T95" s="355">
        <v>531316</v>
      </c>
      <c r="U95" s="59">
        <f t="shared" si="13"/>
        <v>505637</v>
      </c>
      <c r="V95" s="59">
        <f t="shared" si="14"/>
        <v>541323</v>
      </c>
      <c r="W95" s="59">
        <f t="shared" si="15"/>
        <v>522543.1</v>
      </c>
      <c r="X95" s="60">
        <f t="shared" si="16"/>
        <v>101.87210479491978</v>
      </c>
      <c r="Y95" s="65">
        <v>94</v>
      </c>
      <c r="Z95" s="65" t="str">
        <f>_xlfn.IFERROR(INDEX('Tabela PW'!$C:$F,'Słownik PW'!C95,1),"")</f>
        <v/>
      </c>
      <c r="AA95" s="65" t="str">
        <f>_xlfn.IFERROR(INDEX('Tabela PW'!$C:$F,'Słownik PW'!C95,4),"")</f>
        <v/>
      </c>
      <c r="AB95" s="65" t="str">
        <f t="shared" si="12"/>
        <v/>
      </c>
      <c r="AC95" s="65" t="str">
        <f>_xlfn.IFERROR(INDEX('Tabela PW'!$K:$K,'Słownik PW'!C95,1),"")</f>
        <v/>
      </c>
      <c r="AD95" s="65" t="str">
        <f>_xlfn.IFERROR(INDEX('Tabela PW'!$L:$L,'Słownik PW'!C95,1),"")</f>
        <v/>
      </c>
      <c r="AE95" s="65" t="str">
        <f>_xlfn.IFERROR(INDEX('Tabela PW'!$M:$M,'Słownik PW'!C95,1),"")</f>
        <v/>
      </c>
      <c r="AF95" s="65" t="str">
        <f>_xlfn.IFERROR(INDEX('Tabela PW'!$N:$N,'Słownik PW'!C95,1),"")</f>
        <v/>
      </c>
      <c r="AG95" s="65" t="str">
        <f>_xlfn.IFERROR(INDEX('Tabela PW'!$O:$O,'Słownik PW'!C95,1),"")</f>
        <v/>
      </c>
      <c r="AH95" s="65" t="str">
        <f>_xlfn.IFERROR(INDEX('Tabela PW'!$P:$P,'Słownik PW'!C95,1),"")</f>
        <v/>
      </c>
      <c r="AI95" s="65" t="str">
        <f>_xlfn.IFERROR(INDEX('Tabela PW'!$Q:$Q,'Słownik PW'!C95,1),"")</f>
        <v/>
      </c>
      <c r="AJ95" s="65" t="str">
        <f>_xlfn.IFERROR(INDEX('Tabela PW'!$R:$R,'Słownik PW'!C95,1),"")</f>
        <v/>
      </c>
      <c r="AK95" s="65" t="str">
        <f>_xlfn.IFERROR(INDEX('Tabela PW'!$S:$S,'Słownik PW'!C95,1),"")</f>
        <v/>
      </c>
      <c r="AL95" s="65" t="str">
        <f>_xlfn.IFERROR(INDEX('Tabela PW'!$T:$T,'Słownik PW'!C95,1),"")</f>
        <v/>
      </c>
      <c r="AM95" s="65" t="str">
        <f>_xlfn.IFERROR(INDEX('Tabela PW'!$U:$X,'Słownik PW'!C95,1),"")</f>
        <v/>
      </c>
      <c r="AN95" s="65" t="str">
        <f>_xlfn.IFERROR(INDEX('Tabela PW'!$U:$X,'Słownik PW'!C95,2),"")</f>
        <v/>
      </c>
      <c r="AO95" s="66" t="str">
        <f>_xlfn.IFERROR(INDEX('Tabela PW'!$U:$X,'Słownik PW'!C95,3),"")</f>
        <v/>
      </c>
      <c r="AP95" s="67" t="str">
        <f>_xlfn.IFERROR(INDEX('Tabela PW'!$U:$X,'Słownik PW'!C95,4),"")</f>
        <v/>
      </c>
      <c r="AQ95" s="66" t="str">
        <f>_xlfn.IFERROR(INDEX('Tabela PW'!$U:$X,'Słownik PW'!C95,5),"")</f>
        <v/>
      </c>
      <c r="AR95" s="67" t="str">
        <f>_xlfn.IFERROR(INDEX('Tabela PW'!$U:$X,'Słownik PW'!C95,6),"")</f>
        <v/>
      </c>
      <c r="AS95" s="67" t="str">
        <f>_xlfn.IFERROR(INDEX('Tabela PW'!$U:$X,'Słownik PW'!C95,7),"")</f>
        <v/>
      </c>
      <c r="AT95" s="65"/>
      <c r="AU95" s="65"/>
      <c r="AV95" s="65"/>
      <c r="AW95" s="65"/>
      <c r="AX95" s="65"/>
      <c r="AY95" s="65"/>
      <c r="AZ95" s="65"/>
      <c r="BA95" s="65"/>
      <c r="BB95" s="65"/>
      <c r="BC95" s="65"/>
      <c r="BD95" s="65"/>
      <c r="BE95" s="65"/>
      <c r="BF95" s="65"/>
      <c r="BG95" s="65"/>
      <c r="BH95" s="68"/>
      <c r="BI95" s="65"/>
    </row>
    <row r="96" spans="1:61" ht="15">
      <c r="A96" s="4" t="s">
        <v>67</v>
      </c>
      <c r="B96" s="5" t="s">
        <v>671</v>
      </c>
      <c r="C96" s="49" t="s">
        <v>97</v>
      </c>
      <c r="D96" s="349">
        <f t="shared" si="11"/>
        <v>44</v>
      </c>
      <c r="E96" s="350" t="s">
        <v>801</v>
      </c>
      <c r="F96" s="51" t="s">
        <v>25</v>
      </c>
      <c r="G96" s="351" t="s">
        <v>683</v>
      </c>
      <c r="H96" s="351" t="s">
        <v>1568</v>
      </c>
      <c r="I96" s="351" t="s">
        <v>1569</v>
      </c>
      <c r="J96" s="351" t="s">
        <v>3794</v>
      </c>
      <c r="K96" s="354">
        <v>1004898</v>
      </c>
      <c r="L96" s="355">
        <v>960904</v>
      </c>
      <c r="M96" s="354">
        <v>983388</v>
      </c>
      <c r="N96" s="355">
        <v>1059980</v>
      </c>
      <c r="O96" s="355">
        <v>929377</v>
      </c>
      <c r="P96" s="355">
        <v>923696</v>
      </c>
      <c r="Q96" s="355">
        <v>906371</v>
      </c>
      <c r="R96" s="355">
        <v>880040</v>
      </c>
      <c r="S96" s="355">
        <v>845503</v>
      </c>
      <c r="T96" s="355">
        <v>801438</v>
      </c>
      <c r="U96" s="59">
        <f t="shared" si="13"/>
        <v>801438</v>
      </c>
      <c r="V96" s="59">
        <f t="shared" si="14"/>
        <v>1059980</v>
      </c>
      <c r="W96" s="59">
        <f t="shared" si="15"/>
        <v>929559.5</v>
      </c>
      <c r="X96" s="60">
        <f t="shared" si="16"/>
        <v>79.75316897834406</v>
      </c>
      <c r="Y96" s="65">
        <v>95</v>
      </c>
      <c r="Z96" s="65" t="str">
        <f>_xlfn.IFERROR(INDEX('Tabela PW'!$C:$F,'Słownik PW'!C96,1),"")</f>
        <v/>
      </c>
      <c r="AA96" s="65" t="str">
        <f>_xlfn.IFERROR(INDEX('Tabela PW'!$C:$F,'Słownik PW'!C96,4),"")</f>
        <v/>
      </c>
      <c r="AB96" s="65" t="str">
        <f t="shared" si="12"/>
        <v/>
      </c>
      <c r="AC96" s="65" t="str">
        <f>_xlfn.IFERROR(INDEX('Tabela PW'!$K:$K,'Słownik PW'!C96,1),"")</f>
        <v/>
      </c>
      <c r="AD96" s="65" t="str">
        <f>_xlfn.IFERROR(INDEX('Tabela PW'!$L:$L,'Słownik PW'!C96,1),"")</f>
        <v/>
      </c>
      <c r="AE96" s="65" t="str">
        <f>_xlfn.IFERROR(INDEX('Tabela PW'!$M:$M,'Słownik PW'!C96,1),"")</f>
        <v/>
      </c>
      <c r="AF96" s="65" t="str">
        <f>_xlfn.IFERROR(INDEX('Tabela PW'!$N:$N,'Słownik PW'!C96,1),"")</f>
        <v/>
      </c>
      <c r="AG96" s="65" t="str">
        <f>_xlfn.IFERROR(INDEX('Tabela PW'!$O:$O,'Słownik PW'!C96,1),"")</f>
        <v/>
      </c>
      <c r="AH96" s="65" t="str">
        <f>_xlfn.IFERROR(INDEX('Tabela PW'!$P:$P,'Słownik PW'!C96,1),"")</f>
        <v/>
      </c>
      <c r="AI96" s="65" t="str">
        <f>_xlfn.IFERROR(INDEX('Tabela PW'!$Q:$Q,'Słownik PW'!C96,1),"")</f>
        <v/>
      </c>
      <c r="AJ96" s="65" t="str">
        <f>_xlfn.IFERROR(INDEX('Tabela PW'!$R:$R,'Słownik PW'!C96,1),"")</f>
        <v/>
      </c>
      <c r="AK96" s="65" t="str">
        <f>_xlfn.IFERROR(INDEX('Tabela PW'!$S:$S,'Słownik PW'!C96,1),"")</f>
        <v/>
      </c>
      <c r="AL96" s="65" t="str">
        <f>_xlfn.IFERROR(INDEX('Tabela PW'!$T:$T,'Słownik PW'!C96,1),"")</f>
        <v/>
      </c>
      <c r="AM96" s="65" t="str">
        <f>_xlfn.IFERROR(INDEX('Tabela PW'!$U:$X,'Słownik PW'!C96,1),"")</f>
        <v/>
      </c>
      <c r="AN96" s="65" t="str">
        <f>_xlfn.IFERROR(INDEX('Tabela PW'!$U:$X,'Słownik PW'!C96,2),"")</f>
        <v/>
      </c>
      <c r="AO96" s="66" t="str">
        <f>_xlfn.IFERROR(INDEX('Tabela PW'!$U:$X,'Słownik PW'!C96,3),"")</f>
        <v/>
      </c>
      <c r="AP96" s="67" t="str">
        <f>_xlfn.IFERROR(INDEX('Tabela PW'!$U:$X,'Słownik PW'!C96,4),"")</f>
        <v/>
      </c>
      <c r="AQ96" s="66" t="str">
        <f>_xlfn.IFERROR(INDEX('Tabela PW'!$U:$X,'Słownik PW'!C96,5),"")</f>
        <v/>
      </c>
      <c r="AR96" s="67" t="str">
        <f>_xlfn.IFERROR(INDEX('Tabela PW'!$U:$X,'Słownik PW'!C96,6),"")</f>
        <v/>
      </c>
      <c r="AS96" s="67" t="str">
        <f>_xlfn.IFERROR(INDEX('Tabela PW'!$U:$X,'Słownik PW'!C96,7),"")</f>
        <v/>
      </c>
      <c r="AT96" s="65"/>
      <c r="AU96" s="65"/>
      <c r="AV96" s="65"/>
      <c r="AW96" s="65"/>
      <c r="AX96" s="65"/>
      <c r="AY96" s="65"/>
      <c r="AZ96" s="65"/>
      <c r="BA96" s="65"/>
      <c r="BB96" s="65"/>
      <c r="BC96" s="65"/>
      <c r="BD96" s="65"/>
      <c r="BE96" s="65"/>
      <c r="BF96" s="65"/>
      <c r="BG96" s="65"/>
      <c r="BH96" s="68"/>
      <c r="BI96" s="65"/>
    </row>
    <row r="97" spans="1:61" ht="15">
      <c r="A97" s="4" t="s">
        <v>67</v>
      </c>
      <c r="B97" s="5" t="s">
        <v>671</v>
      </c>
      <c r="C97" s="49" t="s">
        <v>98</v>
      </c>
      <c r="D97" s="349">
        <f t="shared" si="11"/>
        <v>7</v>
      </c>
      <c r="E97" s="350" t="s">
        <v>802</v>
      </c>
      <c r="F97" s="51" t="s">
        <v>25</v>
      </c>
      <c r="G97" s="351" t="s">
        <v>683</v>
      </c>
      <c r="H97" s="351" t="s">
        <v>1570</v>
      </c>
      <c r="I97" s="351" t="s">
        <v>1571</v>
      </c>
      <c r="J97" s="351" t="s">
        <v>3795</v>
      </c>
      <c r="K97" s="354">
        <v>177221</v>
      </c>
      <c r="L97" s="355">
        <v>182929</v>
      </c>
      <c r="M97" s="354">
        <v>175373</v>
      </c>
      <c r="N97" s="355">
        <v>175838</v>
      </c>
      <c r="O97" s="355">
        <v>167718</v>
      </c>
      <c r="P97" s="355">
        <v>182162</v>
      </c>
      <c r="Q97" s="355">
        <v>177048</v>
      </c>
      <c r="R97" s="355">
        <v>179913</v>
      </c>
      <c r="S97" s="355">
        <v>180068</v>
      </c>
      <c r="T97" s="355">
        <v>189708</v>
      </c>
      <c r="U97" s="59">
        <f t="shared" si="13"/>
        <v>167718</v>
      </c>
      <c r="V97" s="59">
        <f t="shared" si="14"/>
        <v>189708</v>
      </c>
      <c r="W97" s="59">
        <f t="shared" si="15"/>
        <v>178797.8</v>
      </c>
      <c r="X97" s="60">
        <f t="shared" si="16"/>
        <v>107.04600470598858</v>
      </c>
      <c r="Y97" s="65">
        <v>96</v>
      </c>
      <c r="Z97" s="65" t="str">
        <f>_xlfn.IFERROR(INDEX('Tabela PW'!$C:$F,'Słownik PW'!C97,1),"")</f>
        <v/>
      </c>
      <c r="AA97" s="65" t="str">
        <f>_xlfn.IFERROR(INDEX('Tabela PW'!$C:$F,'Słownik PW'!C97,4),"")</f>
        <v/>
      </c>
      <c r="AB97" s="65" t="str">
        <f t="shared" si="12"/>
        <v/>
      </c>
      <c r="AC97" s="65" t="str">
        <f>_xlfn.IFERROR(INDEX('Tabela PW'!$K:$K,'Słownik PW'!C97,1),"")</f>
        <v/>
      </c>
      <c r="AD97" s="65" t="str">
        <f>_xlfn.IFERROR(INDEX('Tabela PW'!$L:$L,'Słownik PW'!C97,1),"")</f>
        <v/>
      </c>
      <c r="AE97" s="65" t="str">
        <f>_xlfn.IFERROR(INDEX('Tabela PW'!$M:$M,'Słownik PW'!C97,1),"")</f>
        <v/>
      </c>
      <c r="AF97" s="65" t="str">
        <f>_xlfn.IFERROR(INDEX('Tabela PW'!$N:$N,'Słownik PW'!C97,1),"")</f>
        <v/>
      </c>
      <c r="AG97" s="65" t="str">
        <f>_xlfn.IFERROR(INDEX('Tabela PW'!$O:$O,'Słownik PW'!C97,1),"")</f>
        <v/>
      </c>
      <c r="AH97" s="65" t="str">
        <f>_xlfn.IFERROR(INDEX('Tabela PW'!$P:$P,'Słownik PW'!C97,1),"")</f>
        <v/>
      </c>
      <c r="AI97" s="65" t="str">
        <f>_xlfn.IFERROR(INDEX('Tabela PW'!$Q:$Q,'Słownik PW'!C97,1),"")</f>
        <v/>
      </c>
      <c r="AJ97" s="65" t="str">
        <f>_xlfn.IFERROR(INDEX('Tabela PW'!$R:$R,'Słownik PW'!C97,1),"")</f>
        <v/>
      </c>
      <c r="AK97" s="65" t="str">
        <f>_xlfn.IFERROR(INDEX('Tabela PW'!$S:$S,'Słownik PW'!C97,1),"")</f>
        <v/>
      </c>
      <c r="AL97" s="65" t="str">
        <f>_xlfn.IFERROR(INDEX('Tabela PW'!$T:$T,'Słownik PW'!C97,1),"")</f>
        <v/>
      </c>
      <c r="AM97" s="65" t="str">
        <f>_xlfn.IFERROR(INDEX('Tabela PW'!$U:$X,'Słownik PW'!C97,1),"")</f>
        <v/>
      </c>
      <c r="AN97" s="65" t="str">
        <f>_xlfn.IFERROR(INDEX('Tabela PW'!$U:$X,'Słownik PW'!C97,2),"")</f>
        <v/>
      </c>
      <c r="AO97" s="66" t="str">
        <f>_xlfn.IFERROR(INDEX('Tabela PW'!$U:$X,'Słownik PW'!C97,3),"")</f>
        <v/>
      </c>
      <c r="AP97" s="67" t="str">
        <f>_xlfn.IFERROR(INDEX('Tabela PW'!$U:$X,'Słownik PW'!C97,4),"")</f>
        <v/>
      </c>
      <c r="AQ97" s="66" t="str">
        <f>_xlfn.IFERROR(INDEX('Tabela PW'!$U:$X,'Słownik PW'!C97,5),"")</f>
        <v/>
      </c>
      <c r="AR97" s="67" t="str">
        <f>_xlfn.IFERROR(INDEX('Tabela PW'!$U:$X,'Słownik PW'!C97,6),"")</f>
        <v/>
      </c>
      <c r="AS97" s="67" t="str">
        <f>_xlfn.IFERROR(INDEX('Tabela PW'!$U:$X,'Słownik PW'!C97,7),"")</f>
        <v/>
      </c>
      <c r="AT97" s="65"/>
      <c r="AU97" s="65"/>
      <c r="AV97" s="65"/>
      <c r="AW97" s="65"/>
      <c r="AX97" s="65"/>
      <c r="AY97" s="65"/>
      <c r="AZ97" s="65"/>
      <c r="BA97" s="65"/>
      <c r="BB97" s="65"/>
      <c r="BC97" s="65"/>
      <c r="BD97" s="65"/>
      <c r="BE97" s="65"/>
      <c r="BF97" s="65"/>
      <c r="BG97" s="65"/>
      <c r="BH97" s="68"/>
      <c r="BI97" s="65"/>
    </row>
    <row r="98" spans="1:61" ht="15">
      <c r="A98" s="4" t="s">
        <v>67</v>
      </c>
      <c r="B98" s="5" t="s">
        <v>671</v>
      </c>
      <c r="C98" s="49" t="s">
        <v>99</v>
      </c>
      <c r="D98" s="349">
        <f t="shared" si="11"/>
        <v>38</v>
      </c>
      <c r="E98" s="350" t="s">
        <v>803</v>
      </c>
      <c r="F98" s="51" t="s">
        <v>25</v>
      </c>
      <c r="G98" s="351" t="s">
        <v>683</v>
      </c>
      <c r="H98" s="351" t="s">
        <v>1572</v>
      </c>
      <c r="I98" s="351" t="s">
        <v>1573</v>
      </c>
      <c r="J98" s="351" t="s">
        <v>3796</v>
      </c>
      <c r="K98" s="354">
        <v>1578672</v>
      </c>
      <c r="L98" s="355">
        <v>1943185</v>
      </c>
      <c r="M98" s="354">
        <v>1996246</v>
      </c>
      <c r="N98" s="355">
        <v>1952113</v>
      </c>
      <c r="O98" s="355">
        <v>2070416</v>
      </c>
      <c r="P98" s="355">
        <v>1670125</v>
      </c>
      <c r="Q98" s="355">
        <v>2169637</v>
      </c>
      <c r="R98" s="355">
        <v>2215145</v>
      </c>
      <c r="S98" s="355">
        <v>2210932</v>
      </c>
      <c r="T98" s="355">
        <v>2199560</v>
      </c>
      <c r="U98" s="59">
        <f t="shared" si="13"/>
        <v>1578672</v>
      </c>
      <c r="V98" s="59">
        <f t="shared" si="14"/>
        <v>2215145</v>
      </c>
      <c r="W98" s="59">
        <f t="shared" si="15"/>
        <v>2000603.1</v>
      </c>
      <c r="X98" s="60">
        <f t="shared" si="16"/>
        <v>139.32976577781832</v>
      </c>
      <c r="Y98" s="65">
        <v>97</v>
      </c>
      <c r="Z98" s="65" t="str">
        <f>_xlfn.IFERROR(INDEX('Tabela PW'!$C:$F,'Słownik PW'!C98,1),"")</f>
        <v/>
      </c>
      <c r="AA98" s="65" t="str">
        <f>_xlfn.IFERROR(INDEX('Tabela PW'!$C:$F,'Słownik PW'!C98,4),"")</f>
        <v/>
      </c>
      <c r="AB98" s="65" t="str">
        <f aca="true" t="shared" si="17" ref="AB98:AB119">IF(Z98="","",CONCATENATE(Z98," - (JM  ",AA98,")"))</f>
        <v/>
      </c>
      <c r="AC98" s="65" t="str">
        <f>_xlfn.IFERROR(INDEX('Tabela PW'!$K:$K,'Słownik PW'!C98,1),"")</f>
        <v/>
      </c>
      <c r="AD98" s="65" t="str">
        <f>_xlfn.IFERROR(INDEX('Tabela PW'!$L:$L,'Słownik PW'!C98,1),"")</f>
        <v/>
      </c>
      <c r="AE98" s="65" t="str">
        <f>_xlfn.IFERROR(INDEX('Tabela PW'!$M:$M,'Słownik PW'!C98,1),"")</f>
        <v/>
      </c>
      <c r="AF98" s="65" t="str">
        <f>_xlfn.IFERROR(INDEX('Tabela PW'!$N:$N,'Słownik PW'!C98,1),"")</f>
        <v/>
      </c>
      <c r="AG98" s="65" t="str">
        <f>_xlfn.IFERROR(INDEX('Tabela PW'!$O:$O,'Słownik PW'!C98,1),"")</f>
        <v/>
      </c>
      <c r="AH98" s="65" t="str">
        <f>_xlfn.IFERROR(INDEX('Tabela PW'!$P:$P,'Słownik PW'!C98,1),"")</f>
        <v/>
      </c>
      <c r="AI98" s="65" t="str">
        <f>_xlfn.IFERROR(INDEX('Tabela PW'!$Q:$Q,'Słownik PW'!C98,1),"")</f>
        <v/>
      </c>
      <c r="AJ98" s="65" t="str">
        <f>_xlfn.IFERROR(INDEX('Tabela PW'!$R:$R,'Słownik PW'!C98,1),"")</f>
        <v/>
      </c>
      <c r="AK98" s="65" t="str">
        <f>_xlfn.IFERROR(INDEX('Tabela PW'!$S:$S,'Słownik PW'!C98,1),"")</f>
        <v/>
      </c>
      <c r="AL98" s="65" t="str">
        <f>_xlfn.IFERROR(INDEX('Tabela PW'!$T:$T,'Słownik PW'!C98,1),"")</f>
        <v/>
      </c>
      <c r="AM98" s="65" t="str">
        <f>_xlfn.IFERROR(INDEX('Tabela PW'!$U:$X,'Słownik PW'!C98,1),"")</f>
        <v/>
      </c>
      <c r="AN98" s="65" t="str">
        <f>_xlfn.IFERROR(INDEX('Tabela PW'!$U:$X,'Słownik PW'!C98,2),"")</f>
        <v/>
      </c>
      <c r="AO98" s="66" t="str">
        <f>_xlfn.IFERROR(INDEX('Tabela PW'!$U:$X,'Słownik PW'!C98,3),"")</f>
        <v/>
      </c>
      <c r="AP98" s="67" t="str">
        <f>_xlfn.IFERROR(INDEX('Tabela PW'!$U:$X,'Słownik PW'!C98,4),"")</f>
        <v/>
      </c>
      <c r="AQ98" s="66" t="str">
        <f>_xlfn.IFERROR(INDEX('Tabela PW'!$U:$X,'Słownik PW'!C98,5),"")</f>
        <v/>
      </c>
      <c r="AR98" s="67" t="str">
        <f>_xlfn.IFERROR(INDEX('Tabela PW'!$U:$X,'Słownik PW'!C98,6),"")</f>
        <v/>
      </c>
      <c r="AS98" s="67" t="str">
        <f>_xlfn.IFERROR(INDEX('Tabela PW'!$U:$X,'Słownik PW'!C98,7),"")</f>
        <v/>
      </c>
      <c r="AT98" s="65"/>
      <c r="AU98" s="65"/>
      <c r="AV98" s="65"/>
      <c r="AW98" s="65"/>
      <c r="AX98" s="65"/>
      <c r="AY98" s="65"/>
      <c r="AZ98" s="65"/>
      <c r="BA98" s="65"/>
      <c r="BB98" s="65"/>
      <c r="BC98" s="65"/>
      <c r="BD98" s="65"/>
      <c r="BE98" s="65"/>
      <c r="BF98" s="65"/>
      <c r="BG98" s="65"/>
      <c r="BH98" s="68"/>
      <c r="BI98" s="65"/>
    </row>
    <row r="99" spans="1:61" ht="15">
      <c r="A99" s="4" t="s">
        <v>67</v>
      </c>
      <c r="B99" s="5" t="s">
        <v>671</v>
      </c>
      <c r="C99" s="49" t="s">
        <v>100</v>
      </c>
      <c r="D99" s="349">
        <f t="shared" si="11"/>
        <v>81</v>
      </c>
      <c r="E99" s="350" t="s">
        <v>804</v>
      </c>
      <c r="F99" s="51" t="s">
        <v>25</v>
      </c>
      <c r="G99" s="351" t="s">
        <v>683</v>
      </c>
      <c r="H99" s="351" t="s">
        <v>1574</v>
      </c>
      <c r="I99" s="351" t="s">
        <v>1575</v>
      </c>
      <c r="J99" s="351" t="s">
        <v>3797</v>
      </c>
      <c r="K99" s="354">
        <v>373903</v>
      </c>
      <c r="L99" s="355">
        <v>396391</v>
      </c>
      <c r="M99" s="354">
        <v>442711</v>
      </c>
      <c r="N99" s="355">
        <v>441483</v>
      </c>
      <c r="O99" s="355">
        <v>446786</v>
      </c>
      <c r="P99" s="355">
        <v>427669</v>
      </c>
      <c r="Q99" s="355">
        <v>469389</v>
      </c>
      <c r="R99" s="355">
        <v>487384</v>
      </c>
      <c r="S99" s="355">
        <v>610258</v>
      </c>
      <c r="T99" s="355">
        <v>641325</v>
      </c>
      <c r="U99" s="59">
        <f t="shared" si="13"/>
        <v>373903</v>
      </c>
      <c r="V99" s="59">
        <f t="shared" si="14"/>
        <v>641325</v>
      </c>
      <c r="W99" s="59">
        <f t="shared" si="15"/>
        <v>473729.9</v>
      </c>
      <c r="X99" s="60">
        <f t="shared" si="16"/>
        <v>171.52175831699665</v>
      </c>
      <c r="Y99" s="65">
        <v>98</v>
      </c>
      <c r="Z99" s="65" t="str">
        <f>_xlfn.IFERROR(INDEX('Tabela PW'!$C:$F,'Słownik PW'!C99,1),"")</f>
        <v/>
      </c>
      <c r="AA99" s="65" t="str">
        <f>_xlfn.IFERROR(INDEX('Tabela PW'!$C:$F,'Słownik PW'!C99,4),"")</f>
        <v/>
      </c>
      <c r="AB99" s="65" t="str">
        <f t="shared" si="17"/>
        <v/>
      </c>
      <c r="AC99" s="65" t="str">
        <f>_xlfn.IFERROR(INDEX('Tabela PW'!$K:$K,'Słownik PW'!C99,1),"")</f>
        <v/>
      </c>
      <c r="AD99" s="65" t="str">
        <f>_xlfn.IFERROR(INDEX('Tabela PW'!$L:$L,'Słownik PW'!C99,1),"")</f>
        <v/>
      </c>
      <c r="AE99" s="65" t="str">
        <f>_xlfn.IFERROR(INDEX('Tabela PW'!$M:$M,'Słownik PW'!C99,1),"")</f>
        <v/>
      </c>
      <c r="AF99" s="65" t="str">
        <f>_xlfn.IFERROR(INDEX('Tabela PW'!$N:$N,'Słownik PW'!C99,1),"")</f>
        <v/>
      </c>
      <c r="AG99" s="65" t="str">
        <f>_xlfn.IFERROR(INDEX('Tabela PW'!$O:$O,'Słownik PW'!C99,1),"")</f>
        <v/>
      </c>
      <c r="AH99" s="65" t="str">
        <f>_xlfn.IFERROR(INDEX('Tabela PW'!$P:$P,'Słownik PW'!C99,1),"")</f>
        <v/>
      </c>
      <c r="AI99" s="65" t="str">
        <f>_xlfn.IFERROR(INDEX('Tabela PW'!$Q:$Q,'Słownik PW'!C99,1),"")</f>
        <v/>
      </c>
      <c r="AJ99" s="65" t="str">
        <f>_xlfn.IFERROR(INDEX('Tabela PW'!$R:$R,'Słownik PW'!C99,1),"")</f>
        <v/>
      </c>
      <c r="AK99" s="65" t="str">
        <f>_xlfn.IFERROR(INDEX('Tabela PW'!$S:$S,'Słownik PW'!C99,1),"")</f>
        <v/>
      </c>
      <c r="AL99" s="65" t="str">
        <f>_xlfn.IFERROR(INDEX('Tabela PW'!$T:$T,'Słownik PW'!C99,1),"")</f>
        <v/>
      </c>
      <c r="AM99" s="65" t="str">
        <f>_xlfn.IFERROR(INDEX('Tabela PW'!$U:$X,'Słownik PW'!C99,1),"")</f>
        <v/>
      </c>
      <c r="AN99" s="65" t="str">
        <f>_xlfn.IFERROR(INDEX('Tabela PW'!$U:$X,'Słownik PW'!C99,2),"")</f>
        <v/>
      </c>
      <c r="AO99" s="66" t="str">
        <f>_xlfn.IFERROR(INDEX('Tabela PW'!$U:$X,'Słownik PW'!C99,3),"")</f>
        <v/>
      </c>
      <c r="AP99" s="67" t="str">
        <f>_xlfn.IFERROR(INDEX('Tabela PW'!$U:$X,'Słownik PW'!C99,4),"")</f>
        <v/>
      </c>
      <c r="AQ99" s="66" t="str">
        <f>_xlfn.IFERROR(INDEX('Tabela PW'!$U:$X,'Słownik PW'!C99,5),"")</f>
        <v/>
      </c>
      <c r="AR99" s="67" t="str">
        <f>_xlfn.IFERROR(INDEX('Tabela PW'!$U:$X,'Słownik PW'!C99,6),"")</f>
        <v/>
      </c>
      <c r="AS99" s="67" t="str">
        <f>_xlfn.IFERROR(INDEX('Tabela PW'!$U:$X,'Słownik PW'!C99,7),"")</f>
        <v/>
      </c>
      <c r="AT99" s="65"/>
      <c r="AU99" s="65"/>
      <c r="AV99" s="65"/>
      <c r="AW99" s="65"/>
      <c r="AX99" s="65"/>
      <c r="AY99" s="65"/>
      <c r="AZ99" s="65"/>
      <c r="BA99" s="65"/>
      <c r="BB99" s="65"/>
      <c r="BC99" s="65"/>
      <c r="BD99" s="65"/>
      <c r="BE99" s="65"/>
      <c r="BF99" s="65"/>
      <c r="BG99" s="65"/>
      <c r="BH99" s="68"/>
      <c r="BI99" s="65"/>
    </row>
    <row r="100" spans="1:61" ht="15">
      <c r="A100" s="4" t="s">
        <v>67</v>
      </c>
      <c r="B100" s="5" t="s">
        <v>671</v>
      </c>
      <c r="C100" s="49" t="s">
        <v>101</v>
      </c>
      <c r="D100" s="349">
        <f t="shared" si="11"/>
        <v>125</v>
      </c>
      <c r="E100" s="350" t="s">
        <v>805</v>
      </c>
      <c r="F100" s="51" t="s">
        <v>25</v>
      </c>
      <c r="G100" s="351" t="s">
        <v>683</v>
      </c>
      <c r="H100" s="351" t="s">
        <v>1576</v>
      </c>
      <c r="I100" s="351" t="s">
        <v>1577</v>
      </c>
      <c r="J100" s="351" t="s">
        <v>3798</v>
      </c>
      <c r="K100" s="354">
        <v>52137</v>
      </c>
      <c r="L100" s="355">
        <v>64323</v>
      </c>
      <c r="M100" s="354">
        <v>86996</v>
      </c>
      <c r="N100" s="355">
        <v>85465</v>
      </c>
      <c r="O100" s="355">
        <v>77776</v>
      </c>
      <c r="P100" s="355">
        <v>84589</v>
      </c>
      <c r="Q100" s="355">
        <v>96149</v>
      </c>
      <c r="R100" s="355">
        <v>113613</v>
      </c>
      <c r="S100" s="355">
        <v>131215</v>
      </c>
      <c r="T100" s="355">
        <v>150582</v>
      </c>
      <c r="U100" s="59">
        <f t="shared" si="13"/>
        <v>52137</v>
      </c>
      <c r="V100" s="59">
        <f t="shared" si="14"/>
        <v>150582</v>
      </c>
      <c r="W100" s="59">
        <f t="shared" si="15"/>
        <v>94284.5</v>
      </c>
      <c r="X100" s="60">
        <f t="shared" si="16"/>
        <v>288.819840036826</v>
      </c>
      <c r="Y100" s="65">
        <v>99</v>
      </c>
      <c r="Z100" s="65" t="str">
        <f>_xlfn.IFERROR(INDEX('Tabela PW'!$C:$F,'Słownik PW'!C100,1),"")</f>
        <v/>
      </c>
      <c r="AA100" s="65" t="str">
        <f>_xlfn.IFERROR(INDEX('Tabela PW'!$C:$F,'Słownik PW'!C100,4),"")</f>
        <v/>
      </c>
      <c r="AB100" s="65" t="str">
        <f t="shared" si="17"/>
        <v/>
      </c>
      <c r="AC100" s="65" t="str">
        <f>_xlfn.IFERROR(INDEX('Tabela PW'!$K:$K,'Słownik PW'!C100,1),"")</f>
        <v/>
      </c>
      <c r="AD100" s="65" t="str">
        <f>_xlfn.IFERROR(INDEX('Tabela PW'!$L:$L,'Słownik PW'!C100,1),"")</f>
        <v/>
      </c>
      <c r="AE100" s="65" t="str">
        <f>_xlfn.IFERROR(INDEX('Tabela PW'!$M:$M,'Słownik PW'!C100,1),"")</f>
        <v/>
      </c>
      <c r="AF100" s="65" t="str">
        <f>_xlfn.IFERROR(INDEX('Tabela PW'!$N:$N,'Słownik PW'!C100,1),"")</f>
        <v/>
      </c>
      <c r="AG100" s="65" t="str">
        <f>_xlfn.IFERROR(INDEX('Tabela PW'!$O:$O,'Słownik PW'!C100,1),"")</f>
        <v/>
      </c>
      <c r="AH100" s="65" t="str">
        <f>_xlfn.IFERROR(INDEX('Tabela PW'!$P:$P,'Słownik PW'!C100,1),"")</f>
        <v/>
      </c>
      <c r="AI100" s="65" t="str">
        <f>_xlfn.IFERROR(INDEX('Tabela PW'!$Q:$Q,'Słownik PW'!C100,1),"")</f>
        <v/>
      </c>
      <c r="AJ100" s="65" t="str">
        <f>_xlfn.IFERROR(INDEX('Tabela PW'!$R:$R,'Słownik PW'!C100,1),"")</f>
        <v/>
      </c>
      <c r="AK100" s="65" t="str">
        <f>_xlfn.IFERROR(INDEX('Tabela PW'!$S:$S,'Słownik PW'!C100,1),"")</f>
        <v/>
      </c>
      <c r="AL100" s="65" t="str">
        <f>_xlfn.IFERROR(INDEX('Tabela PW'!$T:$T,'Słownik PW'!C100,1),"")</f>
        <v/>
      </c>
      <c r="AM100" s="65" t="str">
        <f>_xlfn.IFERROR(INDEX('Tabela PW'!$U:$X,'Słownik PW'!C100,1),"")</f>
        <v/>
      </c>
      <c r="AN100" s="65" t="str">
        <f>_xlfn.IFERROR(INDEX('Tabela PW'!$U:$X,'Słownik PW'!C100,2),"")</f>
        <v/>
      </c>
      <c r="AO100" s="66" t="str">
        <f>_xlfn.IFERROR(INDEX('Tabela PW'!$U:$X,'Słownik PW'!C100,3),"")</f>
        <v/>
      </c>
      <c r="AP100" s="67" t="str">
        <f>_xlfn.IFERROR(INDEX('Tabela PW'!$U:$X,'Słownik PW'!C100,4),"")</f>
        <v/>
      </c>
      <c r="AQ100" s="66" t="str">
        <f>_xlfn.IFERROR(INDEX('Tabela PW'!$U:$X,'Słownik PW'!C100,5),"")</f>
        <v/>
      </c>
      <c r="AR100" s="67" t="str">
        <f>_xlfn.IFERROR(INDEX('Tabela PW'!$U:$X,'Słownik PW'!C100,6),"")</f>
        <v/>
      </c>
      <c r="AS100" s="67" t="str">
        <f>_xlfn.IFERROR(INDEX('Tabela PW'!$U:$X,'Słownik PW'!C100,7),"")</f>
        <v/>
      </c>
      <c r="AT100" s="65"/>
      <c r="AU100" s="65"/>
      <c r="AV100" s="65"/>
      <c r="AW100" s="65"/>
      <c r="AX100" s="65"/>
      <c r="AY100" s="65"/>
      <c r="AZ100" s="65"/>
      <c r="BA100" s="65"/>
      <c r="BB100" s="65"/>
      <c r="BC100" s="65"/>
      <c r="BD100" s="65"/>
      <c r="BE100" s="65"/>
      <c r="BF100" s="65"/>
      <c r="BG100" s="65"/>
      <c r="BH100" s="68"/>
      <c r="BI100" s="65"/>
    </row>
    <row r="101" spans="1:61" ht="15">
      <c r="A101" s="4" t="s">
        <v>67</v>
      </c>
      <c r="B101" s="5" t="s">
        <v>671</v>
      </c>
      <c r="C101" s="49" t="s">
        <v>102</v>
      </c>
      <c r="D101" s="349">
        <f t="shared" si="11"/>
        <v>88</v>
      </c>
      <c r="E101" s="350" t="s">
        <v>806</v>
      </c>
      <c r="F101" s="51" t="s">
        <v>25</v>
      </c>
      <c r="G101" s="351" t="s">
        <v>683</v>
      </c>
      <c r="H101" s="351" t="s">
        <v>1578</v>
      </c>
      <c r="I101" s="351" t="s">
        <v>1579</v>
      </c>
      <c r="J101" s="351" t="s">
        <v>3799</v>
      </c>
      <c r="K101" s="354">
        <v>27606</v>
      </c>
      <c r="L101" s="355">
        <v>33431</v>
      </c>
      <c r="M101" s="354">
        <v>36856</v>
      </c>
      <c r="N101" s="355">
        <v>40578</v>
      </c>
      <c r="O101" s="355">
        <v>41785</v>
      </c>
      <c r="P101" s="355">
        <v>38359</v>
      </c>
      <c r="Q101" s="355">
        <v>39873</v>
      </c>
      <c r="R101" s="355">
        <v>39398</v>
      </c>
      <c r="S101" s="355">
        <v>38721</v>
      </c>
      <c r="T101" s="355">
        <v>31325</v>
      </c>
      <c r="U101" s="59">
        <f t="shared" si="13"/>
        <v>27606</v>
      </c>
      <c r="V101" s="59">
        <f t="shared" si="14"/>
        <v>41785</v>
      </c>
      <c r="W101" s="59">
        <f t="shared" si="15"/>
        <v>36793.2</v>
      </c>
      <c r="X101" s="60">
        <f t="shared" si="16"/>
        <v>113.47170904875752</v>
      </c>
      <c r="Y101" s="65">
        <v>100</v>
      </c>
      <c r="Z101" s="65" t="str">
        <f>_xlfn.IFERROR(INDEX('Tabela PW'!$C:$F,'Słownik PW'!C101,1),"")</f>
        <v/>
      </c>
      <c r="AA101" s="65" t="str">
        <f>_xlfn.IFERROR(INDEX('Tabela PW'!$C:$F,'Słownik PW'!C101,4),"")</f>
        <v/>
      </c>
      <c r="AB101" s="65" t="str">
        <f t="shared" si="17"/>
        <v/>
      </c>
      <c r="AC101" s="65" t="str">
        <f>_xlfn.IFERROR(INDEX('Tabela PW'!$K:$K,'Słownik PW'!C101,1),"")</f>
        <v/>
      </c>
      <c r="AD101" s="65" t="str">
        <f>_xlfn.IFERROR(INDEX('Tabela PW'!$L:$L,'Słownik PW'!C101,1),"")</f>
        <v/>
      </c>
      <c r="AE101" s="65" t="str">
        <f>_xlfn.IFERROR(INDEX('Tabela PW'!$M:$M,'Słownik PW'!C101,1),"")</f>
        <v/>
      </c>
      <c r="AF101" s="65" t="str">
        <f>_xlfn.IFERROR(INDEX('Tabela PW'!$N:$N,'Słownik PW'!C101,1),"")</f>
        <v/>
      </c>
      <c r="AG101" s="65" t="str">
        <f>_xlfn.IFERROR(INDEX('Tabela PW'!$O:$O,'Słownik PW'!C101,1),"")</f>
        <v/>
      </c>
      <c r="AH101" s="65" t="str">
        <f>_xlfn.IFERROR(INDEX('Tabela PW'!$P:$P,'Słownik PW'!C101,1),"")</f>
        <v/>
      </c>
      <c r="AI101" s="65" t="str">
        <f>_xlfn.IFERROR(INDEX('Tabela PW'!$Q:$Q,'Słownik PW'!C101,1),"")</f>
        <v/>
      </c>
      <c r="AJ101" s="65" t="str">
        <f>_xlfn.IFERROR(INDEX('Tabela PW'!$R:$R,'Słownik PW'!C101,1),"")</f>
        <v/>
      </c>
      <c r="AK101" s="65" t="str">
        <f>_xlfn.IFERROR(INDEX('Tabela PW'!$S:$S,'Słownik PW'!C101,1),"")</f>
        <v/>
      </c>
      <c r="AL101" s="65" t="str">
        <f>_xlfn.IFERROR(INDEX('Tabela PW'!$T:$T,'Słownik PW'!C101,1),"")</f>
        <v/>
      </c>
      <c r="AM101" s="65" t="str">
        <f>_xlfn.IFERROR(INDEX('Tabela PW'!$U:$X,'Słownik PW'!C101,1),"")</f>
        <v/>
      </c>
      <c r="AN101" s="65" t="str">
        <f>_xlfn.IFERROR(INDEX('Tabela PW'!$U:$X,'Słownik PW'!C101,2),"")</f>
        <v/>
      </c>
      <c r="AO101" s="66" t="str">
        <f>_xlfn.IFERROR(INDEX('Tabela PW'!$U:$X,'Słownik PW'!C101,3),"")</f>
        <v/>
      </c>
      <c r="AP101" s="67" t="str">
        <f>_xlfn.IFERROR(INDEX('Tabela PW'!$U:$X,'Słownik PW'!C101,4),"")</f>
        <v/>
      </c>
      <c r="AQ101" s="66" t="str">
        <f>_xlfn.IFERROR(INDEX('Tabela PW'!$U:$X,'Słownik PW'!C101,5),"")</f>
        <v/>
      </c>
      <c r="AR101" s="67" t="str">
        <f>_xlfn.IFERROR(INDEX('Tabela PW'!$U:$X,'Słownik PW'!C101,6),"")</f>
        <v/>
      </c>
      <c r="AS101" s="67" t="str">
        <f>_xlfn.IFERROR(INDEX('Tabela PW'!$U:$X,'Słownik PW'!C101,7),"")</f>
        <v/>
      </c>
      <c r="AT101" s="65"/>
      <c r="AU101" s="65"/>
      <c r="AV101" s="65"/>
      <c r="AW101" s="65"/>
      <c r="AX101" s="65"/>
      <c r="AY101" s="65"/>
      <c r="AZ101" s="65"/>
      <c r="BA101" s="65"/>
      <c r="BB101" s="65"/>
      <c r="BC101" s="65"/>
      <c r="BD101" s="65"/>
      <c r="BE101" s="65"/>
      <c r="BF101" s="65"/>
      <c r="BG101" s="65"/>
      <c r="BH101" s="68"/>
      <c r="BI101" s="65"/>
    </row>
    <row r="102" spans="1:61" ht="15">
      <c r="A102" s="4" t="s">
        <v>67</v>
      </c>
      <c r="B102" s="5" t="s">
        <v>671</v>
      </c>
      <c r="C102" s="49" t="s">
        <v>103</v>
      </c>
      <c r="D102" s="349">
        <f t="shared" si="11"/>
        <v>130</v>
      </c>
      <c r="E102" s="350" t="s">
        <v>807</v>
      </c>
      <c r="F102" s="51" t="s">
        <v>25</v>
      </c>
      <c r="G102" s="351" t="s">
        <v>683</v>
      </c>
      <c r="H102" s="351" t="s">
        <v>1580</v>
      </c>
      <c r="I102" s="351" t="s">
        <v>1581</v>
      </c>
      <c r="J102" s="351" t="s">
        <v>3800</v>
      </c>
      <c r="K102" s="354">
        <v>39976</v>
      </c>
      <c r="L102" s="355">
        <v>46127</v>
      </c>
      <c r="M102" s="354">
        <v>47021</v>
      </c>
      <c r="N102" s="355">
        <v>53756</v>
      </c>
      <c r="O102" s="355">
        <v>55258</v>
      </c>
      <c r="P102" s="355">
        <v>57275</v>
      </c>
      <c r="Q102" s="355">
        <v>58648</v>
      </c>
      <c r="R102" s="355">
        <v>52132</v>
      </c>
      <c r="S102" s="355">
        <v>59148</v>
      </c>
      <c r="T102" s="355">
        <v>54067</v>
      </c>
      <c r="U102" s="59">
        <f t="shared" si="13"/>
        <v>39976</v>
      </c>
      <c r="V102" s="59">
        <f t="shared" si="14"/>
        <v>59148</v>
      </c>
      <c r="W102" s="59">
        <f t="shared" si="15"/>
        <v>52340.8</v>
      </c>
      <c r="X102" s="60">
        <f t="shared" si="16"/>
        <v>135.2486491895137</v>
      </c>
      <c r="Y102" s="65">
        <v>101</v>
      </c>
      <c r="Z102" s="65" t="str">
        <f>_xlfn.IFERROR(INDEX('Tabela PW'!$C:$F,'Słownik PW'!C102,1),"")</f>
        <v/>
      </c>
      <c r="AA102" s="65" t="str">
        <f>_xlfn.IFERROR(INDEX('Tabela PW'!$C:$F,'Słownik PW'!C102,4),"")</f>
        <v/>
      </c>
      <c r="AB102" s="65" t="str">
        <f t="shared" si="17"/>
        <v/>
      </c>
      <c r="AC102" s="65" t="str">
        <f>_xlfn.IFERROR(INDEX('Tabela PW'!$K:$K,'Słownik PW'!C102,1),"")</f>
        <v/>
      </c>
      <c r="AD102" s="65" t="str">
        <f>_xlfn.IFERROR(INDEX('Tabela PW'!$L:$L,'Słownik PW'!C102,1),"")</f>
        <v/>
      </c>
      <c r="AE102" s="65" t="str">
        <f>_xlfn.IFERROR(INDEX('Tabela PW'!$M:$M,'Słownik PW'!C102,1),"")</f>
        <v/>
      </c>
      <c r="AF102" s="65" t="str">
        <f>_xlfn.IFERROR(INDEX('Tabela PW'!$N:$N,'Słownik PW'!C102,1),"")</f>
        <v/>
      </c>
      <c r="AG102" s="65" t="str">
        <f>_xlfn.IFERROR(INDEX('Tabela PW'!$O:$O,'Słownik PW'!C102,1),"")</f>
        <v/>
      </c>
      <c r="AH102" s="65" t="str">
        <f>_xlfn.IFERROR(INDEX('Tabela PW'!$P:$P,'Słownik PW'!C102,1),"")</f>
        <v/>
      </c>
      <c r="AI102" s="65" t="str">
        <f>_xlfn.IFERROR(INDEX('Tabela PW'!$Q:$Q,'Słownik PW'!C102,1),"")</f>
        <v/>
      </c>
      <c r="AJ102" s="65" t="str">
        <f>_xlfn.IFERROR(INDEX('Tabela PW'!$R:$R,'Słownik PW'!C102,1),"")</f>
        <v/>
      </c>
      <c r="AK102" s="65" t="str">
        <f>_xlfn.IFERROR(INDEX('Tabela PW'!$S:$S,'Słownik PW'!C102,1),"")</f>
        <v/>
      </c>
      <c r="AL102" s="65" t="str">
        <f>_xlfn.IFERROR(INDEX('Tabela PW'!$T:$T,'Słownik PW'!C102,1),"")</f>
        <v/>
      </c>
      <c r="AM102" s="65" t="str">
        <f>_xlfn.IFERROR(INDEX('Tabela PW'!$U:$X,'Słownik PW'!C102,1),"")</f>
        <v/>
      </c>
      <c r="AN102" s="65" t="str">
        <f>_xlfn.IFERROR(INDEX('Tabela PW'!$U:$X,'Słownik PW'!C102,2),"")</f>
        <v/>
      </c>
      <c r="AO102" s="66" t="str">
        <f>_xlfn.IFERROR(INDEX('Tabela PW'!$U:$X,'Słownik PW'!C102,3),"")</f>
        <v/>
      </c>
      <c r="AP102" s="67" t="str">
        <f>_xlfn.IFERROR(INDEX('Tabela PW'!$U:$X,'Słownik PW'!C102,4),"")</f>
        <v/>
      </c>
      <c r="AQ102" s="66" t="str">
        <f>_xlfn.IFERROR(INDEX('Tabela PW'!$U:$X,'Słownik PW'!C102,5),"")</f>
        <v/>
      </c>
      <c r="AR102" s="67" t="str">
        <f>_xlfn.IFERROR(INDEX('Tabela PW'!$U:$X,'Słownik PW'!C102,6),"")</f>
        <v/>
      </c>
      <c r="AS102" s="67" t="str">
        <f>_xlfn.IFERROR(INDEX('Tabela PW'!$U:$X,'Słownik PW'!C102,7),"")</f>
        <v/>
      </c>
      <c r="AT102" s="65"/>
      <c r="AU102" s="65"/>
      <c r="AV102" s="65"/>
      <c r="AW102" s="65"/>
      <c r="AX102" s="65"/>
      <c r="AY102" s="65"/>
      <c r="AZ102" s="65"/>
      <c r="BA102" s="65"/>
      <c r="BB102" s="65"/>
      <c r="BC102" s="65"/>
      <c r="BD102" s="65"/>
      <c r="BE102" s="65"/>
      <c r="BF102" s="65"/>
      <c r="BG102" s="65"/>
      <c r="BH102" s="68"/>
      <c r="BI102" s="65"/>
    </row>
    <row r="103" spans="1:61" ht="15">
      <c r="A103" s="4" t="s">
        <v>67</v>
      </c>
      <c r="B103" s="5" t="s">
        <v>671</v>
      </c>
      <c r="C103" s="49" t="s">
        <v>104</v>
      </c>
      <c r="D103" s="349">
        <f t="shared" si="11"/>
        <v>22</v>
      </c>
      <c r="E103" s="350" t="s">
        <v>808</v>
      </c>
      <c r="F103" s="51" t="s">
        <v>25</v>
      </c>
      <c r="G103" s="351" t="s">
        <v>683</v>
      </c>
      <c r="H103" s="351" t="s">
        <v>1582</v>
      </c>
      <c r="I103" s="351" t="s">
        <v>1583</v>
      </c>
      <c r="J103" s="351" t="s">
        <v>3801</v>
      </c>
      <c r="K103" s="354">
        <v>31984</v>
      </c>
      <c r="L103" s="355">
        <v>60316</v>
      </c>
      <c r="M103" s="354">
        <v>58424</v>
      </c>
      <c r="N103" s="355">
        <v>62789</v>
      </c>
      <c r="O103" s="355">
        <v>58136</v>
      </c>
      <c r="P103" s="355">
        <v>60807</v>
      </c>
      <c r="Q103" s="355">
        <v>55262</v>
      </c>
      <c r="R103" s="355">
        <v>56730</v>
      </c>
      <c r="S103" s="355">
        <v>57976</v>
      </c>
      <c r="T103" s="355">
        <v>53338</v>
      </c>
      <c r="U103" s="59">
        <f t="shared" si="13"/>
        <v>31984</v>
      </c>
      <c r="V103" s="59">
        <f t="shared" si="14"/>
        <v>62789</v>
      </c>
      <c r="W103" s="59">
        <f t="shared" si="15"/>
        <v>55576.2</v>
      </c>
      <c r="X103" s="60">
        <f t="shared" si="16"/>
        <v>166.76463231615807</v>
      </c>
      <c r="Y103" s="65">
        <v>102</v>
      </c>
      <c r="Z103" s="65" t="str">
        <f>_xlfn.IFERROR(INDEX('Tabela PW'!$C:$F,'Słownik PW'!C103,1),"")</f>
        <v/>
      </c>
      <c r="AA103" s="65" t="str">
        <f>_xlfn.IFERROR(INDEX('Tabela PW'!$C:$F,'Słownik PW'!C103,4),"")</f>
        <v/>
      </c>
      <c r="AB103" s="65" t="str">
        <f t="shared" si="17"/>
        <v/>
      </c>
      <c r="AC103" s="65" t="str">
        <f>_xlfn.IFERROR(INDEX('Tabela PW'!$K:$K,'Słownik PW'!C103,1),"")</f>
        <v/>
      </c>
      <c r="AD103" s="65" t="str">
        <f>_xlfn.IFERROR(INDEX('Tabela PW'!$L:$L,'Słownik PW'!C103,1),"")</f>
        <v/>
      </c>
      <c r="AE103" s="65" t="str">
        <f>_xlfn.IFERROR(INDEX('Tabela PW'!$M:$M,'Słownik PW'!C103,1),"")</f>
        <v/>
      </c>
      <c r="AF103" s="65" t="str">
        <f>_xlfn.IFERROR(INDEX('Tabela PW'!$N:$N,'Słownik PW'!C103,1),"")</f>
        <v/>
      </c>
      <c r="AG103" s="65" t="str">
        <f>_xlfn.IFERROR(INDEX('Tabela PW'!$O:$O,'Słownik PW'!C103,1),"")</f>
        <v/>
      </c>
      <c r="AH103" s="65" t="str">
        <f>_xlfn.IFERROR(INDEX('Tabela PW'!$P:$P,'Słownik PW'!C103,1),"")</f>
        <v/>
      </c>
      <c r="AI103" s="65" t="str">
        <f>_xlfn.IFERROR(INDEX('Tabela PW'!$Q:$Q,'Słownik PW'!C103,1),"")</f>
        <v/>
      </c>
      <c r="AJ103" s="65" t="str">
        <f>_xlfn.IFERROR(INDEX('Tabela PW'!$R:$R,'Słownik PW'!C103,1),"")</f>
        <v/>
      </c>
      <c r="AK103" s="65" t="str">
        <f>_xlfn.IFERROR(INDEX('Tabela PW'!$S:$S,'Słownik PW'!C103,1),"")</f>
        <v/>
      </c>
      <c r="AL103" s="65" t="str">
        <f>_xlfn.IFERROR(INDEX('Tabela PW'!$T:$T,'Słownik PW'!C103,1),"")</f>
        <v/>
      </c>
      <c r="AM103" s="65" t="str">
        <f>_xlfn.IFERROR(INDEX('Tabela PW'!$U:$X,'Słownik PW'!C103,1),"")</f>
        <v/>
      </c>
      <c r="AN103" s="65" t="str">
        <f>_xlfn.IFERROR(INDEX('Tabela PW'!$U:$X,'Słownik PW'!C103,2),"")</f>
        <v/>
      </c>
      <c r="AO103" s="66" t="str">
        <f>_xlfn.IFERROR(INDEX('Tabela PW'!$U:$X,'Słownik PW'!C103,3),"")</f>
        <v/>
      </c>
      <c r="AP103" s="67" t="str">
        <f>_xlfn.IFERROR(INDEX('Tabela PW'!$U:$X,'Słownik PW'!C103,4),"")</f>
        <v/>
      </c>
      <c r="AQ103" s="66" t="str">
        <f>_xlfn.IFERROR(INDEX('Tabela PW'!$U:$X,'Słownik PW'!C103,5),"")</f>
        <v/>
      </c>
      <c r="AR103" s="67" t="str">
        <f>_xlfn.IFERROR(INDEX('Tabela PW'!$U:$X,'Słownik PW'!C103,6),"")</f>
        <v/>
      </c>
      <c r="AS103" s="67" t="str">
        <f>_xlfn.IFERROR(INDEX('Tabela PW'!$U:$X,'Słownik PW'!C103,7),"")</f>
        <v/>
      </c>
      <c r="AT103" s="65"/>
      <c r="AU103" s="65"/>
      <c r="AV103" s="65"/>
      <c r="AW103" s="65"/>
      <c r="AX103" s="65"/>
      <c r="AY103" s="65"/>
      <c r="AZ103" s="65"/>
      <c r="BA103" s="65"/>
      <c r="BB103" s="65"/>
      <c r="BC103" s="65"/>
      <c r="BD103" s="65"/>
      <c r="BE103" s="65"/>
      <c r="BF103" s="65"/>
      <c r="BG103" s="65"/>
      <c r="BH103" s="68"/>
      <c r="BI103" s="65"/>
    </row>
    <row r="104" spans="1:61" ht="15">
      <c r="A104" s="4" t="s">
        <v>67</v>
      </c>
      <c r="B104" s="5" t="s">
        <v>671</v>
      </c>
      <c r="C104" s="49" t="s">
        <v>105</v>
      </c>
      <c r="D104" s="349">
        <f t="shared" si="11"/>
        <v>15</v>
      </c>
      <c r="E104" s="350" t="s">
        <v>809</v>
      </c>
      <c r="F104" s="51" t="s">
        <v>25</v>
      </c>
      <c r="G104" s="351" t="s">
        <v>683</v>
      </c>
      <c r="H104" s="351" t="s">
        <v>1584</v>
      </c>
      <c r="I104" s="351" t="s">
        <v>1585</v>
      </c>
      <c r="J104" s="351" t="s">
        <v>3802</v>
      </c>
      <c r="K104" s="354">
        <v>3587</v>
      </c>
      <c r="L104" s="355">
        <v>3412</v>
      </c>
      <c r="M104" s="354">
        <v>5464</v>
      </c>
      <c r="N104" s="355">
        <v>6664</v>
      </c>
      <c r="O104" s="355">
        <v>8613</v>
      </c>
      <c r="P104" s="355">
        <v>7804</v>
      </c>
      <c r="Q104" s="355">
        <v>8543</v>
      </c>
      <c r="R104" s="355">
        <v>7663</v>
      </c>
      <c r="S104" s="355">
        <v>3024</v>
      </c>
      <c r="T104" s="355">
        <v>2420</v>
      </c>
      <c r="U104" s="59">
        <f t="shared" si="13"/>
        <v>2420</v>
      </c>
      <c r="V104" s="59">
        <f t="shared" si="14"/>
        <v>8613</v>
      </c>
      <c r="W104" s="59">
        <f t="shared" si="15"/>
        <v>5719.4</v>
      </c>
      <c r="X104" s="60">
        <f t="shared" si="16"/>
        <v>67.46584889880123</v>
      </c>
      <c r="Y104" s="65">
        <v>103</v>
      </c>
      <c r="Z104" s="65" t="str">
        <f>_xlfn.IFERROR(INDEX('Tabela PW'!$C:$F,'Słownik PW'!C104,1),"")</f>
        <v/>
      </c>
      <c r="AA104" s="65" t="str">
        <f>_xlfn.IFERROR(INDEX('Tabela PW'!$C:$F,'Słownik PW'!C104,4),"")</f>
        <v/>
      </c>
      <c r="AB104" s="65" t="str">
        <f t="shared" si="17"/>
        <v/>
      </c>
      <c r="AC104" s="65" t="str">
        <f>_xlfn.IFERROR(INDEX('Tabela PW'!$K:$K,'Słownik PW'!C104,1),"")</f>
        <v/>
      </c>
      <c r="AD104" s="65" t="str">
        <f>_xlfn.IFERROR(INDEX('Tabela PW'!$L:$L,'Słownik PW'!C104,1),"")</f>
        <v/>
      </c>
      <c r="AE104" s="65" t="str">
        <f>_xlfn.IFERROR(INDEX('Tabela PW'!$M:$M,'Słownik PW'!C104,1),"")</f>
        <v/>
      </c>
      <c r="AF104" s="65" t="str">
        <f>_xlfn.IFERROR(INDEX('Tabela PW'!$N:$N,'Słownik PW'!C104,1),"")</f>
        <v/>
      </c>
      <c r="AG104" s="65" t="str">
        <f>_xlfn.IFERROR(INDEX('Tabela PW'!$O:$O,'Słownik PW'!C104,1),"")</f>
        <v/>
      </c>
      <c r="AH104" s="65" t="str">
        <f>_xlfn.IFERROR(INDEX('Tabela PW'!$P:$P,'Słownik PW'!C104,1),"")</f>
        <v/>
      </c>
      <c r="AI104" s="65" t="str">
        <f>_xlfn.IFERROR(INDEX('Tabela PW'!$Q:$Q,'Słownik PW'!C104,1),"")</f>
        <v/>
      </c>
      <c r="AJ104" s="65" t="str">
        <f>_xlfn.IFERROR(INDEX('Tabela PW'!$R:$R,'Słownik PW'!C104,1),"")</f>
        <v/>
      </c>
      <c r="AK104" s="65" t="str">
        <f>_xlfn.IFERROR(INDEX('Tabela PW'!$S:$S,'Słownik PW'!C104,1),"")</f>
        <v/>
      </c>
      <c r="AL104" s="65" t="str">
        <f>_xlfn.IFERROR(INDEX('Tabela PW'!$T:$T,'Słownik PW'!C104,1),"")</f>
        <v/>
      </c>
      <c r="AM104" s="65" t="str">
        <f>_xlfn.IFERROR(INDEX('Tabela PW'!$U:$X,'Słownik PW'!C104,1),"")</f>
        <v/>
      </c>
      <c r="AN104" s="65" t="str">
        <f>_xlfn.IFERROR(INDEX('Tabela PW'!$U:$X,'Słownik PW'!C104,2),"")</f>
        <v/>
      </c>
      <c r="AO104" s="66" t="str">
        <f>_xlfn.IFERROR(INDEX('Tabela PW'!$U:$X,'Słownik PW'!C104,3),"")</f>
        <v/>
      </c>
      <c r="AP104" s="67" t="str">
        <f>_xlfn.IFERROR(INDEX('Tabela PW'!$U:$X,'Słownik PW'!C104,4),"")</f>
        <v/>
      </c>
      <c r="AQ104" s="66" t="str">
        <f>_xlfn.IFERROR(INDEX('Tabela PW'!$U:$X,'Słownik PW'!C104,5),"")</f>
        <v/>
      </c>
      <c r="AR104" s="67" t="str">
        <f>_xlfn.IFERROR(INDEX('Tabela PW'!$U:$X,'Słownik PW'!C104,6),"")</f>
        <v/>
      </c>
      <c r="AS104" s="67" t="str">
        <f>_xlfn.IFERROR(INDEX('Tabela PW'!$U:$X,'Słownik PW'!C104,7),"")</f>
        <v/>
      </c>
      <c r="AT104" s="65"/>
      <c r="AU104" s="65"/>
      <c r="AV104" s="65"/>
      <c r="AW104" s="65"/>
      <c r="AX104" s="65"/>
      <c r="AY104" s="65"/>
      <c r="AZ104" s="65"/>
      <c r="BA104" s="65"/>
      <c r="BB104" s="65"/>
      <c r="BC104" s="65"/>
      <c r="BD104" s="65"/>
      <c r="BE104" s="65"/>
      <c r="BF104" s="65"/>
      <c r="BG104" s="65"/>
      <c r="BH104" s="68"/>
      <c r="BI104" s="65"/>
    </row>
    <row r="105" spans="1:61" ht="15">
      <c r="A105" s="4" t="s">
        <v>67</v>
      </c>
      <c r="B105" s="5" t="s">
        <v>671</v>
      </c>
      <c r="C105" s="49" t="s">
        <v>106</v>
      </c>
      <c r="D105" s="349">
        <f t="shared" si="11"/>
        <v>34</v>
      </c>
      <c r="E105" s="350" t="s">
        <v>810</v>
      </c>
      <c r="F105" s="51" t="s">
        <v>25</v>
      </c>
      <c r="G105" s="351" t="s">
        <v>683</v>
      </c>
      <c r="H105" s="351" t="s">
        <v>1586</v>
      </c>
      <c r="I105" s="351" t="s">
        <v>1587</v>
      </c>
      <c r="J105" s="351" t="s">
        <v>3803</v>
      </c>
      <c r="K105" s="354">
        <v>48841</v>
      </c>
      <c r="L105" s="355">
        <v>46323</v>
      </c>
      <c r="M105" s="354">
        <v>42566</v>
      </c>
      <c r="N105" s="355">
        <v>46651</v>
      </c>
      <c r="O105" s="355">
        <v>60660</v>
      </c>
      <c r="P105" s="355">
        <v>47235</v>
      </c>
      <c r="Q105" s="355">
        <v>44812</v>
      </c>
      <c r="R105" s="355">
        <v>40736</v>
      </c>
      <c r="S105" s="355">
        <v>48117</v>
      </c>
      <c r="T105" s="355">
        <v>40887</v>
      </c>
      <c r="U105" s="59">
        <f t="shared" si="13"/>
        <v>40736</v>
      </c>
      <c r="V105" s="59">
        <f t="shared" si="14"/>
        <v>60660</v>
      </c>
      <c r="W105" s="59">
        <f t="shared" si="15"/>
        <v>46682.8</v>
      </c>
      <c r="X105" s="60">
        <f t="shared" si="16"/>
        <v>83.71450216007044</v>
      </c>
      <c r="Y105" s="65">
        <v>104</v>
      </c>
      <c r="Z105" s="65" t="str">
        <f>_xlfn.IFERROR(INDEX('Tabela PW'!$C:$F,'Słownik PW'!C105,1),"")</f>
        <v/>
      </c>
      <c r="AA105" s="65" t="str">
        <f>_xlfn.IFERROR(INDEX('Tabela PW'!$C:$F,'Słownik PW'!C105,4),"")</f>
        <v/>
      </c>
      <c r="AB105" s="65" t="str">
        <f t="shared" si="17"/>
        <v/>
      </c>
      <c r="AC105" s="65" t="str">
        <f>_xlfn.IFERROR(INDEX('Tabela PW'!$K:$K,'Słownik PW'!C105,1),"")</f>
        <v/>
      </c>
      <c r="AD105" s="65" t="str">
        <f>_xlfn.IFERROR(INDEX('Tabela PW'!$L:$L,'Słownik PW'!C105,1),"")</f>
        <v/>
      </c>
      <c r="AE105" s="65" t="str">
        <f>_xlfn.IFERROR(INDEX('Tabela PW'!$M:$M,'Słownik PW'!C105,1),"")</f>
        <v/>
      </c>
      <c r="AF105" s="65" t="str">
        <f>_xlfn.IFERROR(INDEX('Tabela PW'!$N:$N,'Słownik PW'!C105,1),"")</f>
        <v/>
      </c>
      <c r="AG105" s="65" t="str">
        <f>_xlfn.IFERROR(INDEX('Tabela PW'!$O:$O,'Słownik PW'!C105,1),"")</f>
        <v/>
      </c>
      <c r="AH105" s="65" t="str">
        <f>_xlfn.IFERROR(INDEX('Tabela PW'!$P:$P,'Słownik PW'!C105,1),"")</f>
        <v/>
      </c>
      <c r="AI105" s="65" t="str">
        <f>_xlfn.IFERROR(INDEX('Tabela PW'!$Q:$Q,'Słownik PW'!C105,1),"")</f>
        <v/>
      </c>
      <c r="AJ105" s="65" t="str">
        <f>_xlfn.IFERROR(INDEX('Tabela PW'!$R:$R,'Słownik PW'!C105,1),"")</f>
        <v/>
      </c>
      <c r="AK105" s="65" t="str">
        <f>_xlfn.IFERROR(INDEX('Tabela PW'!$S:$S,'Słownik PW'!C105,1),"")</f>
        <v/>
      </c>
      <c r="AL105" s="65" t="str">
        <f>_xlfn.IFERROR(INDEX('Tabela PW'!$T:$T,'Słownik PW'!C105,1),"")</f>
        <v/>
      </c>
      <c r="AM105" s="65" t="str">
        <f>_xlfn.IFERROR(INDEX('Tabela PW'!$U:$X,'Słownik PW'!C105,1),"")</f>
        <v/>
      </c>
      <c r="AN105" s="65" t="str">
        <f>_xlfn.IFERROR(INDEX('Tabela PW'!$U:$X,'Słownik PW'!C105,2),"")</f>
        <v/>
      </c>
      <c r="AO105" s="66" t="str">
        <f>_xlfn.IFERROR(INDEX('Tabela PW'!$U:$X,'Słownik PW'!C105,3),"")</f>
        <v/>
      </c>
      <c r="AP105" s="67" t="str">
        <f>_xlfn.IFERROR(INDEX('Tabela PW'!$U:$X,'Słownik PW'!C105,4),"")</f>
        <v/>
      </c>
      <c r="AQ105" s="66" t="str">
        <f>_xlfn.IFERROR(INDEX('Tabela PW'!$U:$X,'Słownik PW'!C105,5),"")</f>
        <v/>
      </c>
      <c r="AR105" s="67" t="str">
        <f>_xlfn.IFERROR(INDEX('Tabela PW'!$U:$X,'Słownik PW'!C105,6),"")</f>
        <v/>
      </c>
      <c r="AS105" s="67" t="str">
        <f>_xlfn.IFERROR(INDEX('Tabela PW'!$U:$X,'Słownik PW'!C105,7),"")</f>
        <v/>
      </c>
      <c r="AT105" s="65"/>
      <c r="AU105" s="65"/>
      <c r="AV105" s="65"/>
      <c r="AW105" s="65"/>
      <c r="AX105" s="65"/>
      <c r="AY105" s="65"/>
      <c r="AZ105" s="65"/>
      <c r="BA105" s="65"/>
      <c r="BB105" s="65"/>
      <c r="BC105" s="65"/>
      <c r="BD105" s="65"/>
      <c r="BE105" s="65"/>
      <c r="BF105" s="65"/>
      <c r="BG105" s="65"/>
      <c r="BH105" s="68"/>
      <c r="BI105" s="65"/>
    </row>
    <row r="106" spans="1:61" ht="15">
      <c r="A106" s="4" t="s">
        <v>67</v>
      </c>
      <c r="B106" s="5" t="s">
        <v>671</v>
      </c>
      <c r="C106" s="49" t="s">
        <v>107</v>
      </c>
      <c r="D106" s="349">
        <f t="shared" si="11"/>
        <v>28</v>
      </c>
      <c r="E106" s="350" t="s">
        <v>811</v>
      </c>
      <c r="F106" s="51" t="s">
        <v>25</v>
      </c>
      <c r="G106" s="351" t="s">
        <v>683</v>
      </c>
      <c r="H106" s="351" t="s">
        <v>1588</v>
      </c>
      <c r="I106" s="351" t="s">
        <v>1589</v>
      </c>
      <c r="J106" s="351" t="s">
        <v>3804</v>
      </c>
      <c r="K106" s="354">
        <v>10472</v>
      </c>
      <c r="L106" s="355">
        <v>11200</v>
      </c>
      <c r="M106" s="354">
        <v>12284</v>
      </c>
      <c r="N106" s="355">
        <v>12466</v>
      </c>
      <c r="O106" s="355">
        <v>11766</v>
      </c>
      <c r="P106" s="355">
        <v>12096</v>
      </c>
      <c r="Q106" s="355">
        <v>12318</v>
      </c>
      <c r="R106" s="355">
        <v>12853</v>
      </c>
      <c r="S106" s="355">
        <v>12273</v>
      </c>
      <c r="T106" s="355">
        <v>11678</v>
      </c>
      <c r="U106" s="59">
        <f t="shared" si="13"/>
        <v>10472</v>
      </c>
      <c r="V106" s="59">
        <f t="shared" si="14"/>
        <v>12853</v>
      </c>
      <c r="W106" s="59">
        <f t="shared" si="15"/>
        <v>11940.6</v>
      </c>
      <c r="X106" s="60">
        <f t="shared" si="16"/>
        <v>111.51642475171887</v>
      </c>
      <c r="Y106" s="65">
        <v>105</v>
      </c>
      <c r="Z106" s="65" t="str">
        <f>_xlfn.IFERROR(INDEX('Tabela PW'!$C:$F,'Słownik PW'!C106,1),"")</f>
        <v/>
      </c>
      <c r="AA106" s="65" t="str">
        <f>_xlfn.IFERROR(INDEX('Tabela PW'!$C:$F,'Słownik PW'!C106,4),"")</f>
        <v/>
      </c>
      <c r="AB106" s="65" t="str">
        <f t="shared" si="17"/>
        <v/>
      </c>
      <c r="AC106" s="65" t="str">
        <f>_xlfn.IFERROR(INDEX('Tabela PW'!$K:$K,'Słownik PW'!C106,1),"")</f>
        <v/>
      </c>
      <c r="AD106" s="65" t="str">
        <f>_xlfn.IFERROR(INDEX('Tabela PW'!$L:$L,'Słownik PW'!C106,1),"")</f>
        <v/>
      </c>
      <c r="AE106" s="65" t="str">
        <f>_xlfn.IFERROR(INDEX('Tabela PW'!$M:$M,'Słownik PW'!C106,1),"")</f>
        <v/>
      </c>
      <c r="AF106" s="65" t="str">
        <f>_xlfn.IFERROR(INDEX('Tabela PW'!$N:$N,'Słownik PW'!C106,1),"")</f>
        <v/>
      </c>
      <c r="AG106" s="65" t="str">
        <f>_xlfn.IFERROR(INDEX('Tabela PW'!$O:$O,'Słownik PW'!C106,1),"")</f>
        <v/>
      </c>
      <c r="AH106" s="65" t="str">
        <f>_xlfn.IFERROR(INDEX('Tabela PW'!$P:$P,'Słownik PW'!C106,1),"")</f>
        <v/>
      </c>
      <c r="AI106" s="65" t="str">
        <f>_xlfn.IFERROR(INDEX('Tabela PW'!$Q:$Q,'Słownik PW'!C106,1),"")</f>
        <v/>
      </c>
      <c r="AJ106" s="65" t="str">
        <f>_xlfn.IFERROR(INDEX('Tabela PW'!$R:$R,'Słownik PW'!C106,1),"")</f>
        <v/>
      </c>
      <c r="AK106" s="65" t="str">
        <f>_xlfn.IFERROR(INDEX('Tabela PW'!$S:$S,'Słownik PW'!C106,1),"")</f>
        <v/>
      </c>
      <c r="AL106" s="65" t="str">
        <f>_xlfn.IFERROR(INDEX('Tabela PW'!$T:$T,'Słownik PW'!C106,1),"")</f>
        <v/>
      </c>
      <c r="AM106" s="65" t="str">
        <f>_xlfn.IFERROR(INDEX('Tabela PW'!$U:$X,'Słownik PW'!C106,1),"")</f>
        <v/>
      </c>
      <c r="AN106" s="65" t="str">
        <f>_xlfn.IFERROR(INDEX('Tabela PW'!$U:$X,'Słownik PW'!C106,2),"")</f>
        <v/>
      </c>
      <c r="AO106" s="66" t="str">
        <f>_xlfn.IFERROR(INDEX('Tabela PW'!$U:$X,'Słownik PW'!C106,3),"")</f>
        <v/>
      </c>
      <c r="AP106" s="67" t="str">
        <f>_xlfn.IFERROR(INDEX('Tabela PW'!$U:$X,'Słownik PW'!C106,4),"")</f>
        <v/>
      </c>
      <c r="AQ106" s="66" t="str">
        <f>_xlfn.IFERROR(INDEX('Tabela PW'!$U:$X,'Słownik PW'!C106,5),"")</f>
        <v/>
      </c>
      <c r="AR106" s="67" t="str">
        <f>_xlfn.IFERROR(INDEX('Tabela PW'!$U:$X,'Słownik PW'!C106,6),"")</f>
        <v/>
      </c>
      <c r="AS106" s="67" t="str">
        <f>_xlfn.IFERROR(INDEX('Tabela PW'!$U:$X,'Słownik PW'!C106,7),"")</f>
        <v/>
      </c>
      <c r="AT106" s="65"/>
      <c r="AU106" s="65"/>
      <c r="AV106" s="65"/>
      <c r="AW106" s="65"/>
      <c r="AX106" s="65"/>
      <c r="AY106" s="65"/>
      <c r="AZ106" s="65"/>
      <c r="BA106" s="65"/>
      <c r="BB106" s="65"/>
      <c r="BC106" s="65"/>
      <c r="BD106" s="65"/>
      <c r="BE106" s="65"/>
      <c r="BF106" s="65"/>
      <c r="BG106" s="65"/>
      <c r="BH106" s="68"/>
      <c r="BI106" s="65"/>
    </row>
    <row r="107" spans="1:61" ht="15">
      <c r="A107" s="4" t="s">
        <v>67</v>
      </c>
      <c r="B107" s="5" t="s">
        <v>671</v>
      </c>
      <c r="C107" s="49" t="s">
        <v>108</v>
      </c>
      <c r="D107" s="349">
        <f t="shared" si="11"/>
        <v>34</v>
      </c>
      <c r="E107" s="350" t="s">
        <v>812</v>
      </c>
      <c r="F107" s="51" t="s">
        <v>25</v>
      </c>
      <c r="G107" s="351" t="s">
        <v>683</v>
      </c>
      <c r="H107" s="351" t="s">
        <v>1590</v>
      </c>
      <c r="I107" s="351" t="s">
        <v>1591</v>
      </c>
      <c r="J107" s="351" t="s">
        <v>3805</v>
      </c>
      <c r="K107" s="354">
        <v>82445</v>
      </c>
      <c r="L107" s="355">
        <v>83780</v>
      </c>
      <c r="M107" s="354">
        <v>85335</v>
      </c>
      <c r="N107" s="355">
        <v>84725</v>
      </c>
      <c r="O107" s="355">
        <v>81173</v>
      </c>
      <c r="P107" s="355">
        <v>80229</v>
      </c>
      <c r="Q107" s="355">
        <v>82744</v>
      </c>
      <c r="R107" s="355">
        <v>93176</v>
      </c>
      <c r="S107" s="355">
        <v>105593</v>
      </c>
      <c r="T107" s="355">
        <v>98151</v>
      </c>
      <c r="U107" s="59">
        <f t="shared" si="13"/>
        <v>80229</v>
      </c>
      <c r="V107" s="59">
        <f t="shared" si="14"/>
        <v>105593</v>
      </c>
      <c r="W107" s="59">
        <f t="shared" si="15"/>
        <v>87735.1</v>
      </c>
      <c r="X107" s="60">
        <f t="shared" si="16"/>
        <v>119.05027594153678</v>
      </c>
      <c r="Y107" s="65">
        <v>106</v>
      </c>
      <c r="Z107" s="65" t="str">
        <f>_xlfn.IFERROR(INDEX('Tabela PW'!$C:$F,'Słownik PW'!C107,1),"")</f>
        <v/>
      </c>
      <c r="AA107" s="65" t="str">
        <f>_xlfn.IFERROR(INDEX('Tabela PW'!$C:$F,'Słownik PW'!C107,4),"")</f>
        <v/>
      </c>
      <c r="AB107" s="65" t="str">
        <f t="shared" si="17"/>
        <v/>
      </c>
      <c r="AC107" s="65" t="str">
        <f>_xlfn.IFERROR(INDEX('Tabela PW'!$K:$K,'Słownik PW'!C107,1),"")</f>
        <v/>
      </c>
      <c r="AD107" s="65" t="str">
        <f>_xlfn.IFERROR(INDEX('Tabela PW'!$L:$L,'Słownik PW'!C107,1),"")</f>
        <v/>
      </c>
      <c r="AE107" s="65" t="str">
        <f>_xlfn.IFERROR(INDEX('Tabela PW'!$M:$M,'Słownik PW'!C107,1),"")</f>
        <v/>
      </c>
      <c r="AF107" s="65" t="str">
        <f>_xlfn.IFERROR(INDEX('Tabela PW'!$N:$N,'Słownik PW'!C107,1),"")</f>
        <v/>
      </c>
      <c r="AG107" s="65" t="str">
        <f>_xlfn.IFERROR(INDEX('Tabela PW'!$O:$O,'Słownik PW'!C107,1),"")</f>
        <v/>
      </c>
      <c r="AH107" s="65" t="str">
        <f>_xlfn.IFERROR(INDEX('Tabela PW'!$P:$P,'Słownik PW'!C107,1),"")</f>
        <v/>
      </c>
      <c r="AI107" s="65" t="str">
        <f>_xlfn.IFERROR(INDEX('Tabela PW'!$Q:$Q,'Słownik PW'!C107,1),"")</f>
        <v/>
      </c>
      <c r="AJ107" s="65" t="str">
        <f>_xlfn.IFERROR(INDEX('Tabela PW'!$R:$R,'Słownik PW'!C107,1),"")</f>
        <v/>
      </c>
      <c r="AK107" s="65" t="str">
        <f>_xlfn.IFERROR(INDEX('Tabela PW'!$S:$S,'Słownik PW'!C107,1),"")</f>
        <v/>
      </c>
      <c r="AL107" s="65" t="str">
        <f>_xlfn.IFERROR(INDEX('Tabela PW'!$T:$T,'Słownik PW'!C107,1),"")</f>
        <v/>
      </c>
      <c r="AM107" s="65" t="str">
        <f>_xlfn.IFERROR(INDEX('Tabela PW'!$U:$X,'Słownik PW'!C107,1),"")</f>
        <v/>
      </c>
      <c r="AN107" s="65" t="str">
        <f>_xlfn.IFERROR(INDEX('Tabela PW'!$U:$X,'Słownik PW'!C107,2),"")</f>
        <v/>
      </c>
      <c r="AO107" s="66" t="str">
        <f>_xlfn.IFERROR(INDEX('Tabela PW'!$U:$X,'Słownik PW'!C107,3),"")</f>
        <v/>
      </c>
      <c r="AP107" s="67" t="str">
        <f>_xlfn.IFERROR(INDEX('Tabela PW'!$U:$X,'Słownik PW'!C107,4),"")</f>
        <v/>
      </c>
      <c r="AQ107" s="66" t="str">
        <f>_xlfn.IFERROR(INDEX('Tabela PW'!$U:$X,'Słownik PW'!C107,5),"")</f>
        <v/>
      </c>
      <c r="AR107" s="67" t="str">
        <f>_xlfn.IFERROR(INDEX('Tabela PW'!$U:$X,'Słownik PW'!C107,6),"")</f>
        <v/>
      </c>
      <c r="AS107" s="67" t="str">
        <f>_xlfn.IFERROR(INDEX('Tabela PW'!$U:$X,'Słownik PW'!C107,7),"")</f>
        <v/>
      </c>
      <c r="AT107" s="65"/>
      <c r="AU107" s="65"/>
      <c r="AV107" s="65"/>
      <c r="AW107" s="65"/>
      <c r="AX107" s="65"/>
      <c r="AY107" s="65"/>
      <c r="AZ107" s="65"/>
      <c r="BA107" s="65"/>
      <c r="BB107" s="65"/>
      <c r="BC107" s="65"/>
      <c r="BD107" s="65"/>
      <c r="BE107" s="65"/>
      <c r="BF107" s="65"/>
      <c r="BG107" s="65"/>
      <c r="BH107" s="68"/>
      <c r="BI107" s="65"/>
    </row>
    <row r="108" spans="1:61" ht="15">
      <c r="A108" s="4" t="s">
        <v>67</v>
      </c>
      <c r="B108" s="5" t="s">
        <v>671</v>
      </c>
      <c r="C108" s="49" t="s">
        <v>109</v>
      </c>
      <c r="D108" s="349">
        <f t="shared" si="11"/>
        <v>59</v>
      </c>
      <c r="E108" s="350" t="s">
        <v>813</v>
      </c>
      <c r="F108" s="51" t="s">
        <v>25</v>
      </c>
      <c r="G108" s="351" t="s">
        <v>683</v>
      </c>
      <c r="H108" s="351" t="s">
        <v>1592</v>
      </c>
      <c r="I108" s="351" t="s">
        <v>1593</v>
      </c>
      <c r="J108" s="351" t="s">
        <v>3806</v>
      </c>
      <c r="K108" s="354">
        <v>28723</v>
      </c>
      <c r="L108" s="355">
        <v>32761</v>
      </c>
      <c r="M108" s="354">
        <v>35250</v>
      </c>
      <c r="N108" s="355">
        <v>34835</v>
      </c>
      <c r="O108" s="355">
        <v>33438</v>
      </c>
      <c r="P108" s="355">
        <v>35794</v>
      </c>
      <c r="Q108" s="355">
        <v>35093</v>
      </c>
      <c r="R108" s="355">
        <v>35050</v>
      </c>
      <c r="S108" s="355">
        <v>34627</v>
      </c>
      <c r="T108" s="355">
        <v>35527</v>
      </c>
      <c r="U108" s="59">
        <f t="shared" si="13"/>
        <v>28723</v>
      </c>
      <c r="V108" s="59">
        <f t="shared" si="14"/>
        <v>35794</v>
      </c>
      <c r="W108" s="59">
        <f t="shared" si="15"/>
        <v>34109.8</v>
      </c>
      <c r="X108" s="60">
        <f t="shared" si="16"/>
        <v>123.68833339135885</v>
      </c>
      <c r="Y108" s="65">
        <v>107</v>
      </c>
      <c r="Z108" s="65" t="str">
        <f>_xlfn.IFERROR(INDEX('Tabela PW'!$C:$F,'Słownik PW'!C108,1),"")</f>
        <v/>
      </c>
      <c r="AA108" s="65" t="str">
        <f>_xlfn.IFERROR(INDEX('Tabela PW'!$C:$F,'Słownik PW'!C108,4),"")</f>
        <v/>
      </c>
      <c r="AB108" s="65" t="str">
        <f t="shared" si="17"/>
        <v/>
      </c>
      <c r="AC108" s="65" t="str">
        <f>_xlfn.IFERROR(INDEX('Tabela PW'!$K:$K,'Słownik PW'!C108,1),"")</f>
        <v/>
      </c>
      <c r="AD108" s="65" t="str">
        <f>_xlfn.IFERROR(INDEX('Tabela PW'!$L:$L,'Słownik PW'!C108,1),"")</f>
        <v/>
      </c>
      <c r="AE108" s="65" t="str">
        <f>_xlfn.IFERROR(INDEX('Tabela PW'!$M:$M,'Słownik PW'!C108,1),"")</f>
        <v/>
      </c>
      <c r="AF108" s="65" t="str">
        <f>_xlfn.IFERROR(INDEX('Tabela PW'!$N:$N,'Słownik PW'!C108,1),"")</f>
        <v/>
      </c>
      <c r="AG108" s="65" t="str">
        <f>_xlfn.IFERROR(INDEX('Tabela PW'!$O:$O,'Słownik PW'!C108,1),"")</f>
        <v/>
      </c>
      <c r="AH108" s="65" t="str">
        <f>_xlfn.IFERROR(INDEX('Tabela PW'!$P:$P,'Słownik PW'!C108,1),"")</f>
        <v/>
      </c>
      <c r="AI108" s="65" t="str">
        <f>_xlfn.IFERROR(INDEX('Tabela PW'!$Q:$Q,'Słownik PW'!C108,1),"")</f>
        <v/>
      </c>
      <c r="AJ108" s="65" t="str">
        <f>_xlfn.IFERROR(INDEX('Tabela PW'!$R:$R,'Słownik PW'!C108,1),"")</f>
        <v/>
      </c>
      <c r="AK108" s="65" t="str">
        <f>_xlfn.IFERROR(INDEX('Tabela PW'!$S:$S,'Słownik PW'!C108,1),"")</f>
        <v/>
      </c>
      <c r="AL108" s="65" t="str">
        <f>_xlfn.IFERROR(INDEX('Tabela PW'!$T:$T,'Słownik PW'!C108,1),"")</f>
        <v/>
      </c>
      <c r="AM108" s="65" t="str">
        <f>_xlfn.IFERROR(INDEX('Tabela PW'!$U:$X,'Słownik PW'!C108,1),"")</f>
        <v/>
      </c>
      <c r="AN108" s="65" t="str">
        <f>_xlfn.IFERROR(INDEX('Tabela PW'!$U:$X,'Słownik PW'!C108,2),"")</f>
        <v/>
      </c>
      <c r="AO108" s="66" t="str">
        <f>_xlfn.IFERROR(INDEX('Tabela PW'!$U:$X,'Słownik PW'!C108,3),"")</f>
        <v/>
      </c>
      <c r="AP108" s="67" t="str">
        <f>_xlfn.IFERROR(INDEX('Tabela PW'!$U:$X,'Słownik PW'!C108,4),"")</f>
        <v/>
      </c>
      <c r="AQ108" s="66" t="str">
        <f>_xlfn.IFERROR(INDEX('Tabela PW'!$U:$X,'Słownik PW'!C108,5),"")</f>
        <v/>
      </c>
      <c r="AR108" s="67" t="str">
        <f>_xlfn.IFERROR(INDEX('Tabela PW'!$U:$X,'Słownik PW'!C108,6),"")</f>
        <v/>
      </c>
      <c r="AS108" s="67" t="str">
        <f>_xlfn.IFERROR(INDEX('Tabela PW'!$U:$X,'Słownik PW'!C108,7),"")</f>
        <v/>
      </c>
      <c r="AT108" s="65"/>
      <c r="AU108" s="65"/>
      <c r="AV108" s="65"/>
      <c r="AW108" s="65"/>
      <c r="AX108" s="65"/>
      <c r="AY108" s="65"/>
      <c r="AZ108" s="65"/>
      <c r="BA108" s="65"/>
      <c r="BB108" s="65"/>
      <c r="BC108" s="65"/>
      <c r="BD108" s="65"/>
      <c r="BE108" s="65"/>
      <c r="BF108" s="65"/>
      <c r="BG108" s="65"/>
      <c r="BH108" s="68"/>
      <c r="BI108" s="65"/>
    </row>
    <row r="109" spans="1:61" ht="15">
      <c r="A109" s="4" t="s">
        <v>67</v>
      </c>
      <c r="B109" s="5" t="s">
        <v>671</v>
      </c>
      <c r="C109" s="49" t="s">
        <v>110</v>
      </c>
      <c r="D109" s="349">
        <f t="shared" si="11"/>
        <v>4</v>
      </c>
      <c r="E109" s="350" t="s">
        <v>814</v>
      </c>
      <c r="F109" s="51" t="s">
        <v>111</v>
      </c>
      <c r="G109" s="351" t="s">
        <v>673</v>
      </c>
      <c r="H109" s="351" t="s">
        <v>1594</v>
      </c>
      <c r="I109" s="351" t="s">
        <v>1595</v>
      </c>
      <c r="J109" s="351" t="s">
        <v>3807</v>
      </c>
      <c r="K109" s="354">
        <v>805702</v>
      </c>
      <c r="L109" s="355">
        <v>792325</v>
      </c>
      <c r="M109" s="354">
        <v>878948</v>
      </c>
      <c r="N109" s="355">
        <v>897692</v>
      </c>
      <c r="O109" s="355">
        <v>876327</v>
      </c>
      <c r="P109" s="355">
        <v>789339</v>
      </c>
      <c r="Q109" s="355">
        <v>796450</v>
      </c>
      <c r="R109" s="355">
        <v>909976</v>
      </c>
      <c r="S109" s="355">
        <v>960768</v>
      </c>
      <c r="T109" s="355">
        <v>1000803</v>
      </c>
      <c r="U109" s="59">
        <f t="shared" si="13"/>
        <v>789339</v>
      </c>
      <c r="V109" s="59">
        <f t="shared" si="14"/>
        <v>1000803</v>
      </c>
      <c r="W109" s="59">
        <f t="shared" si="15"/>
        <v>870833</v>
      </c>
      <c r="X109" s="60">
        <f t="shared" si="16"/>
        <v>124.21503235687636</v>
      </c>
      <c r="Y109" s="65">
        <v>108</v>
      </c>
      <c r="Z109" s="65" t="str">
        <f>_xlfn.IFERROR(INDEX('Tabela PW'!$C:$F,'Słownik PW'!C109,1),"")</f>
        <v/>
      </c>
      <c r="AA109" s="65" t="str">
        <f>_xlfn.IFERROR(INDEX('Tabela PW'!$C:$F,'Słownik PW'!C109,4),"")</f>
        <v/>
      </c>
      <c r="AB109" s="65" t="str">
        <f t="shared" si="17"/>
        <v/>
      </c>
      <c r="AC109" s="65" t="str">
        <f>_xlfn.IFERROR(INDEX('Tabela PW'!$K:$K,'Słownik PW'!C109,1),"")</f>
        <v/>
      </c>
      <c r="AD109" s="65" t="str">
        <f>_xlfn.IFERROR(INDEX('Tabela PW'!$L:$L,'Słownik PW'!C109,1),"")</f>
        <v/>
      </c>
      <c r="AE109" s="65" t="str">
        <f>_xlfn.IFERROR(INDEX('Tabela PW'!$M:$M,'Słownik PW'!C109,1),"")</f>
        <v/>
      </c>
      <c r="AF109" s="65" t="str">
        <f>_xlfn.IFERROR(INDEX('Tabela PW'!$N:$N,'Słownik PW'!C109,1),"")</f>
        <v/>
      </c>
      <c r="AG109" s="65" t="str">
        <f>_xlfn.IFERROR(INDEX('Tabela PW'!$O:$O,'Słownik PW'!C109,1),"")</f>
        <v/>
      </c>
      <c r="AH109" s="65" t="str">
        <f>_xlfn.IFERROR(INDEX('Tabela PW'!$P:$P,'Słownik PW'!C109,1),"")</f>
        <v/>
      </c>
      <c r="AI109" s="65" t="str">
        <f>_xlfn.IFERROR(INDEX('Tabela PW'!$Q:$Q,'Słownik PW'!C109,1),"")</f>
        <v/>
      </c>
      <c r="AJ109" s="65" t="str">
        <f>_xlfn.IFERROR(INDEX('Tabela PW'!$R:$R,'Słownik PW'!C109,1),"")</f>
        <v/>
      </c>
      <c r="AK109" s="65" t="str">
        <f>_xlfn.IFERROR(INDEX('Tabela PW'!$S:$S,'Słownik PW'!C109,1),"")</f>
        <v/>
      </c>
      <c r="AL109" s="65" t="str">
        <f>_xlfn.IFERROR(INDEX('Tabela PW'!$T:$T,'Słownik PW'!C109,1),"")</f>
        <v/>
      </c>
      <c r="AM109" s="65" t="str">
        <f>_xlfn.IFERROR(INDEX('Tabela PW'!$U:$X,'Słownik PW'!C109,1),"")</f>
        <v/>
      </c>
      <c r="AN109" s="65" t="str">
        <f>_xlfn.IFERROR(INDEX('Tabela PW'!$U:$X,'Słownik PW'!C109,2),"")</f>
        <v/>
      </c>
      <c r="AO109" s="66" t="str">
        <f>_xlfn.IFERROR(INDEX('Tabela PW'!$U:$X,'Słownik PW'!C109,3),"")</f>
        <v/>
      </c>
      <c r="AP109" s="67" t="str">
        <f>_xlfn.IFERROR(INDEX('Tabela PW'!$U:$X,'Słownik PW'!C109,4),"")</f>
        <v/>
      </c>
      <c r="AQ109" s="66" t="str">
        <f>_xlfn.IFERROR(INDEX('Tabela PW'!$U:$X,'Słownik PW'!C109,5),"")</f>
        <v/>
      </c>
      <c r="AR109" s="67" t="str">
        <f>_xlfn.IFERROR(INDEX('Tabela PW'!$U:$X,'Słownik PW'!C109,6),"")</f>
        <v/>
      </c>
      <c r="AS109" s="67" t="str">
        <f>_xlfn.IFERROR(INDEX('Tabela PW'!$U:$X,'Słownik PW'!C109,7),"")</f>
        <v/>
      </c>
      <c r="AT109" s="65"/>
      <c r="AU109" s="65"/>
      <c r="AV109" s="65"/>
      <c r="AW109" s="65"/>
      <c r="AX109" s="65"/>
      <c r="AY109" s="65"/>
      <c r="AZ109" s="65"/>
      <c r="BA109" s="65"/>
      <c r="BB109" s="65"/>
      <c r="BC109" s="65"/>
      <c r="BD109" s="65"/>
      <c r="BE109" s="65"/>
      <c r="BF109" s="65"/>
      <c r="BG109" s="65"/>
      <c r="BH109" s="68"/>
      <c r="BI109" s="65"/>
    </row>
    <row r="110" spans="1:61" ht="15">
      <c r="A110" s="4" t="s">
        <v>67</v>
      </c>
      <c r="B110" s="5" t="s">
        <v>671</v>
      </c>
      <c r="C110" s="49" t="s">
        <v>112</v>
      </c>
      <c r="D110" s="349">
        <f t="shared" si="11"/>
        <v>46</v>
      </c>
      <c r="E110" s="350" t="s">
        <v>815</v>
      </c>
      <c r="F110" s="51" t="s">
        <v>25</v>
      </c>
      <c r="G110" s="351" t="s">
        <v>683</v>
      </c>
      <c r="H110" s="351" t="s">
        <v>1596</v>
      </c>
      <c r="I110" s="351" t="s">
        <v>1597</v>
      </c>
      <c r="J110" s="351" t="s">
        <v>3808</v>
      </c>
      <c r="K110" s="354">
        <v>139854</v>
      </c>
      <c r="L110" s="355">
        <v>127165</v>
      </c>
      <c r="M110" s="354">
        <v>123796</v>
      </c>
      <c r="N110" s="355">
        <v>120051</v>
      </c>
      <c r="O110" s="355">
        <v>111127</v>
      </c>
      <c r="P110" s="355">
        <v>124395</v>
      </c>
      <c r="Q110" s="355">
        <v>135029</v>
      </c>
      <c r="R110" s="355">
        <v>163267</v>
      </c>
      <c r="S110" s="355">
        <v>184160</v>
      </c>
      <c r="T110" s="355">
        <v>190714</v>
      </c>
      <c r="U110" s="59">
        <f t="shared" si="13"/>
        <v>111127</v>
      </c>
      <c r="V110" s="59">
        <f t="shared" si="14"/>
        <v>190714</v>
      </c>
      <c r="W110" s="59">
        <f t="shared" si="15"/>
        <v>141955.8</v>
      </c>
      <c r="X110" s="60">
        <f t="shared" si="16"/>
        <v>136.36649648919587</v>
      </c>
      <c r="Y110" s="65">
        <v>109</v>
      </c>
      <c r="Z110" s="65" t="str">
        <f>_xlfn.IFERROR(INDEX('Tabela PW'!$C:$F,'Słownik PW'!C110,1),"")</f>
        <v/>
      </c>
      <c r="AA110" s="65" t="str">
        <f>_xlfn.IFERROR(INDEX('Tabela PW'!$C:$F,'Słownik PW'!C110,4),"")</f>
        <v/>
      </c>
      <c r="AB110" s="65" t="str">
        <f t="shared" si="17"/>
        <v/>
      </c>
      <c r="AC110" s="65" t="str">
        <f>_xlfn.IFERROR(INDEX('Tabela PW'!$K:$K,'Słownik PW'!C110,1),"")</f>
        <v/>
      </c>
      <c r="AD110" s="65" t="str">
        <f>_xlfn.IFERROR(INDEX('Tabela PW'!$L:$L,'Słownik PW'!C110,1),"")</f>
        <v/>
      </c>
      <c r="AE110" s="65" t="str">
        <f>_xlfn.IFERROR(INDEX('Tabela PW'!$M:$M,'Słownik PW'!C110,1),"")</f>
        <v/>
      </c>
      <c r="AF110" s="65" t="str">
        <f>_xlfn.IFERROR(INDEX('Tabela PW'!$N:$N,'Słownik PW'!C110,1),"")</f>
        <v/>
      </c>
      <c r="AG110" s="65" t="str">
        <f>_xlfn.IFERROR(INDEX('Tabela PW'!$O:$O,'Słownik PW'!C110,1),"")</f>
        <v/>
      </c>
      <c r="AH110" s="65" t="str">
        <f>_xlfn.IFERROR(INDEX('Tabela PW'!$P:$P,'Słownik PW'!C110,1),"")</f>
        <v/>
      </c>
      <c r="AI110" s="65" t="str">
        <f>_xlfn.IFERROR(INDEX('Tabela PW'!$Q:$Q,'Słownik PW'!C110,1),"")</f>
        <v/>
      </c>
      <c r="AJ110" s="65" t="str">
        <f>_xlfn.IFERROR(INDEX('Tabela PW'!$R:$R,'Słownik PW'!C110,1),"")</f>
        <v/>
      </c>
      <c r="AK110" s="65" t="str">
        <f>_xlfn.IFERROR(INDEX('Tabela PW'!$S:$S,'Słownik PW'!C110,1),"")</f>
        <v/>
      </c>
      <c r="AL110" s="65" t="str">
        <f>_xlfn.IFERROR(INDEX('Tabela PW'!$T:$T,'Słownik PW'!C110,1),"")</f>
        <v/>
      </c>
      <c r="AM110" s="65" t="str">
        <f>_xlfn.IFERROR(INDEX('Tabela PW'!$U:$X,'Słownik PW'!C110,1),"")</f>
        <v/>
      </c>
      <c r="AN110" s="65" t="str">
        <f>_xlfn.IFERROR(INDEX('Tabela PW'!$U:$X,'Słownik PW'!C110,2),"")</f>
        <v/>
      </c>
      <c r="AO110" s="66" t="str">
        <f>_xlfn.IFERROR(INDEX('Tabela PW'!$U:$X,'Słownik PW'!C110,3),"")</f>
        <v/>
      </c>
      <c r="AP110" s="67" t="str">
        <f>_xlfn.IFERROR(INDEX('Tabela PW'!$U:$X,'Słownik PW'!C110,4),"")</f>
        <v/>
      </c>
      <c r="AQ110" s="66" t="str">
        <f>_xlfn.IFERROR(INDEX('Tabela PW'!$U:$X,'Słownik PW'!C110,5),"")</f>
        <v/>
      </c>
      <c r="AR110" s="67" t="str">
        <f>_xlfn.IFERROR(INDEX('Tabela PW'!$U:$X,'Słownik PW'!C110,6),"")</f>
        <v/>
      </c>
      <c r="AS110" s="67" t="str">
        <f>_xlfn.IFERROR(INDEX('Tabela PW'!$U:$X,'Słownik PW'!C110,7),"")</f>
        <v/>
      </c>
      <c r="AT110" s="65"/>
      <c r="AU110" s="65"/>
      <c r="AV110" s="65"/>
      <c r="AW110" s="65"/>
      <c r="AX110" s="65"/>
      <c r="AY110" s="65"/>
      <c r="AZ110" s="65"/>
      <c r="BA110" s="65"/>
      <c r="BB110" s="65"/>
      <c r="BC110" s="65"/>
      <c r="BD110" s="65"/>
      <c r="BE110" s="65"/>
      <c r="BF110" s="65"/>
      <c r="BG110" s="65"/>
      <c r="BH110" s="68"/>
      <c r="BI110" s="65"/>
    </row>
    <row r="111" spans="1:61" ht="15">
      <c r="A111" s="4" t="s">
        <v>67</v>
      </c>
      <c r="B111" s="5" t="s">
        <v>671</v>
      </c>
      <c r="C111" s="49" t="s">
        <v>113</v>
      </c>
      <c r="D111" s="349">
        <f t="shared" si="11"/>
        <v>16</v>
      </c>
      <c r="E111" s="350" t="s">
        <v>816</v>
      </c>
      <c r="F111" s="51" t="s">
        <v>25</v>
      </c>
      <c r="G111" s="351" t="s">
        <v>683</v>
      </c>
      <c r="H111" s="351" t="s">
        <v>1598</v>
      </c>
      <c r="I111" s="351" t="s">
        <v>1599</v>
      </c>
      <c r="J111" s="351" t="s">
        <v>3809</v>
      </c>
      <c r="K111" s="354">
        <v>37936</v>
      </c>
      <c r="L111" s="355">
        <v>38412</v>
      </c>
      <c r="M111" s="354">
        <v>38029</v>
      </c>
      <c r="N111" s="355">
        <v>35484</v>
      </c>
      <c r="O111" s="355">
        <v>42272</v>
      </c>
      <c r="P111" s="355">
        <v>34729</v>
      </c>
      <c r="Q111" s="355">
        <v>35664</v>
      </c>
      <c r="R111" s="355">
        <v>36765</v>
      </c>
      <c r="S111" s="355">
        <v>39499</v>
      </c>
      <c r="T111" s="355">
        <v>31340</v>
      </c>
      <c r="U111" s="59">
        <f t="shared" si="13"/>
        <v>31340</v>
      </c>
      <c r="V111" s="59">
        <f t="shared" si="14"/>
        <v>42272</v>
      </c>
      <c r="W111" s="59">
        <f t="shared" si="15"/>
        <v>37013</v>
      </c>
      <c r="X111" s="60">
        <f t="shared" si="16"/>
        <v>82.61282159426402</v>
      </c>
      <c r="Y111" s="65">
        <v>110</v>
      </c>
      <c r="Z111" s="65" t="str">
        <f>_xlfn.IFERROR(INDEX('Tabela PW'!$C:$F,'Słownik PW'!C111,1),"")</f>
        <v/>
      </c>
      <c r="AA111" s="65" t="str">
        <f>_xlfn.IFERROR(INDEX('Tabela PW'!$C:$F,'Słownik PW'!C111,4),"")</f>
        <v/>
      </c>
      <c r="AB111" s="65" t="str">
        <f t="shared" si="17"/>
        <v/>
      </c>
      <c r="AC111" s="65" t="str">
        <f>_xlfn.IFERROR(INDEX('Tabela PW'!$K:$K,'Słownik PW'!C111,1),"")</f>
        <v/>
      </c>
      <c r="AD111" s="65" t="str">
        <f>_xlfn.IFERROR(INDEX('Tabela PW'!$L:$L,'Słownik PW'!C111,1),"")</f>
        <v/>
      </c>
      <c r="AE111" s="65" t="str">
        <f>_xlfn.IFERROR(INDEX('Tabela PW'!$M:$M,'Słownik PW'!C111,1),"")</f>
        <v/>
      </c>
      <c r="AF111" s="65" t="str">
        <f>_xlfn.IFERROR(INDEX('Tabela PW'!$N:$N,'Słownik PW'!C111,1),"")</f>
        <v/>
      </c>
      <c r="AG111" s="65" t="str">
        <f>_xlfn.IFERROR(INDEX('Tabela PW'!$O:$O,'Słownik PW'!C111,1),"")</f>
        <v/>
      </c>
      <c r="AH111" s="65" t="str">
        <f>_xlfn.IFERROR(INDEX('Tabela PW'!$P:$P,'Słownik PW'!C111,1),"")</f>
        <v/>
      </c>
      <c r="AI111" s="65" t="str">
        <f>_xlfn.IFERROR(INDEX('Tabela PW'!$Q:$Q,'Słownik PW'!C111,1),"")</f>
        <v/>
      </c>
      <c r="AJ111" s="65" t="str">
        <f>_xlfn.IFERROR(INDEX('Tabela PW'!$R:$R,'Słownik PW'!C111,1),"")</f>
        <v/>
      </c>
      <c r="AK111" s="65" t="str">
        <f>_xlfn.IFERROR(INDEX('Tabela PW'!$S:$S,'Słownik PW'!C111,1),"")</f>
        <v/>
      </c>
      <c r="AL111" s="65" t="str">
        <f>_xlfn.IFERROR(INDEX('Tabela PW'!$T:$T,'Słownik PW'!C111,1),"")</f>
        <v/>
      </c>
      <c r="AM111" s="65" t="str">
        <f>_xlfn.IFERROR(INDEX('Tabela PW'!$U:$X,'Słownik PW'!C111,1),"")</f>
        <v/>
      </c>
      <c r="AN111" s="65" t="str">
        <f>_xlfn.IFERROR(INDEX('Tabela PW'!$U:$X,'Słownik PW'!C111,2),"")</f>
        <v/>
      </c>
      <c r="AO111" s="66" t="str">
        <f>_xlfn.IFERROR(INDEX('Tabela PW'!$U:$X,'Słownik PW'!C111,3),"")</f>
        <v/>
      </c>
      <c r="AP111" s="67" t="str">
        <f>_xlfn.IFERROR(INDEX('Tabela PW'!$U:$X,'Słownik PW'!C111,4),"")</f>
        <v/>
      </c>
      <c r="AQ111" s="66" t="str">
        <f>_xlfn.IFERROR(INDEX('Tabela PW'!$U:$X,'Słownik PW'!C111,5),"")</f>
        <v/>
      </c>
      <c r="AR111" s="67" t="str">
        <f>_xlfn.IFERROR(INDEX('Tabela PW'!$U:$X,'Słownik PW'!C111,6),"")</f>
        <v/>
      </c>
      <c r="AS111" s="67" t="str">
        <f>_xlfn.IFERROR(INDEX('Tabela PW'!$U:$X,'Słownik PW'!C111,7),"")</f>
        <v/>
      </c>
      <c r="AT111" s="65"/>
      <c r="AU111" s="65"/>
      <c r="AV111" s="65"/>
      <c r="AW111" s="65"/>
      <c r="AX111" s="65"/>
      <c r="AY111" s="65"/>
      <c r="AZ111" s="65"/>
      <c r="BA111" s="65"/>
      <c r="BB111" s="65"/>
      <c r="BC111" s="65"/>
      <c r="BD111" s="65"/>
      <c r="BE111" s="65"/>
      <c r="BF111" s="65"/>
      <c r="BG111" s="65"/>
      <c r="BH111" s="68"/>
      <c r="BI111" s="65"/>
    </row>
    <row r="112" spans="1:61" ht="15">
      <c r="A112" s="4" t="s">
        <v>67</v>
      </c>
      <c r="B112" s="5" t="s">
        <v>671</v>
      </c>
      <c r="C112" s="49" t="s">
        <v>114</v>
      </c>
      <c r="D112" s="349">
        <f t="shared" si="11"/>
        <v>7</v>
      </c>
      <c r="E112" s="350" t="s">
        <v>817</v>
      </c>
      <c r="F112" s="51" t="s">
        <v>25</v>
      </c>
      <c r="G112" s="351" t="s">
        <v>683</v>
      </c>
      <c r="H112" s="351" t="s">
        <v>1600</v>
      </c>
      <c r="I112" s="351" t="s">
        <v>1601</v>
      </c>
      <c r="J112" s="351" t="s">
        <v>3810</v>
      </c>
      <c r="K112" s="354">
        <v>77351</v>
      </c>
      <c r="L112" s="355">
        <v>84746</v>
      </c>
      <c r="M112" s="354">
        <v>99613</v>
      </c>
      <c r="N112" s="355">
        <v>109731</v>
      </c>
      <c r="O112" s="355">
        <v>99581</v>
      </c>
      <c r="P112" s="355">
        <v>106986</v>
      </c>
      <c r="Q112" s="355">
        <v>112685</v>
      </c>
      <c r="R112" s="355">
        <v>128860</v>
      </c>
      <c r="S112" s="355">
        <v>151198</v>
      </c>
      <c r="T112" s="355">
        <v>138321</v>
      </c>
      <c r="U112" s="59">
        <f t="shared" si="13"/>
        <v>77351</v>
      </c>
      <c r="V112" s="59">
        <f t="shared" si="14"/>
        <v>151198</v>
      </c>
      <c r="W112" s="59">
        <f t="shared" si="15"/>
        <v>110907.2</v>
      </c>
      <c r="X112" s="60">
        <f t="shared" si="16"/>
        <v>178.82251037478508</v>
      </c>
      <c r="Y112" s="65">
        <v>111</v>
      </c>
      <c r="Z112" s="65" t="str">
        <f>_xlfn.IFERROR(INDEX('Tabela PW'!$C:$F,'Słownik PW'!C112,1),"")</f>
        <v/>
      </c>
      <c r="AA112" s="65" t="str">
        <f>_xlfn.IFERROR(INDEX('Tabela PW'!$C:$F,'Słownik PW'!C112,4),"")</f>
        <v/>
      </c>
      <c r="AB112" s="65" t="str">
        <f t="shared" si="17"/>
        <v/>
      </c>
      <c r="AC112" s="65" t="str">
        <f>_xlfn.IFERROR(INDEX('Tabela PW'!$K:$K,'Słownik PW'!C112,1),"")</f>
        <v/>
      </c>
      <c r="AD112" s="65" t="str">
        <f>_xlfn.IFERROR(INDEX('Tabela PW'!$L:$L,'Słownik PW'!C112,1),"")</f>
        <v/>
      </c>
      <c r="AE112" s="65" t="str">
        <f>_xlfn.IFERROR(INDEX('Tabela PW'!$M:$M,'Słownik PW'!C112,1),"")</f>
        <v/>
      </c>
      <c r="AF112" s="65" t="str">
        <f>_xlfn.IFERROR(INDEX('Tabela PW'!$N:$N,'Słownik PW'!C112,1),"")</f>
        <v/>
      </c>
      <c r="AG112" s="65" t="str">
        <f>_xlfn.IFERROR(INDEX('Tabela PW'!$O:$O,'Słownik PW'!C112,1),"")</f>
        <v/>
      </c>
      <c r="AH112" s="65" t="str">
        <f>_xlfn.IFERROR(INDEX('Tabela PW'!$P:$P,'Słownik PW'!C112,1),"")</f>
        <v/>
      </c>
      <c r="AI112" s="65" t="str">
        <f>_xlfn.IFERROR(INDEX('Tabela PW'!$Q:$Q,'Słownik PW'!C112,1),"")</f>
        <v/>
      </c>
      <c r="AJ112" s="65" t="str">
        <f>_xlfn.IFERROR(INDEX('Tabela PW'!$R:$R,'Słownik PW'!C112,1),"")</f>
        <v/>
      </c>
      <c r="AK112" s="65" t="str">
        <f>_xlfn.IFERROR(INDEX('Tabela PW'!$S:$S,'Słownik PW'!C112,1),"")</f>
        <v/>
      </c>
      <c r="AL112" s="65" t="str">
        <f>_xlfn.IFERROR(INDEX('Tabela PW'!$T:$T,'Słownik PW'!C112,1),"")</f>
        <v/>
      </c>
      <c r="AM112" s="65" t="str">
        <f>_xlfn.IFERROR(INDEX('Tabela PW'!$U:$X,'Słownik PW'!C112,1),"")</f>
        <v/>
      </c>
      <c r="AN112" s="65" t="str">
        <f>_xlfn.IFERROR(INDEX('Tabela PW'!$U:$X,'Słownik PW'!C112,2),"")</f>
        <v/>
      </c>
      <c r="AO112" s="66" t="str">
        <f>_xlfn.IFERROR(INDEX('Tabela PW'!$U:$X,'Słownik PW'!C112,3),"")</f>
        <v/>
      </c>
      <c r="AP112" s="67" t="str">
        <f>_xlfn.IFERROR(INDEX('Tabela PW'!$U:$X,'Słownik PW'!C112,4),"")</f>
        <v/>
      </c>
      <c r="AQ112" s="66" t="str">
        <f>_xlfn.IFERROR(INDEX('Tabela PW'!$U:$X,'Słownik PW'!C112,5),"")</f>
        <v/>
      </c>
      <c r="AR112" s="67" t="str">
        <f>_xlfn.IFERROR(INDEX('Tabela PW'!$U:$X,'Słownik PW'!C112,6),"")</f>
        <v/>
      </c>
      <c r="AS112" s="67" t="str">
        <f>_xlfn.IFERROR(INDEX('Tabela PW'!$U:$X,'Słownik PW'!C112,7),"")</f>
        <v/>
      </c>
      <c r="AT112" s="65"/>
      <c r="AU112" s="65"/>
      <c r="AV112" s="65"/>
      <c r="AW112" s="65"/>
      <c r="AX112" s="65"/>
      <c r="AY112" s="65"/>
      <c r="AZ112" s="65"/>
      <c r="BA112" s="65"/>
      <c r="BB112" s="65"/>
      <c r="BC112" s="65"/>
      <c r="BD112" s="65"/>
      <c r="BE112" s="65"/>
      <c r="BF112" s="65"/>
      <c r="BG112" s="65"/>
      <c r="BH112" s="68"/>
      <c r="BI112" s="65"/>
    </row>
    <row r="113" spans="1:61" ht="15">
      <c r="A113" s="4" t="s">
        <v>67</v>
      </c>
      <c r="B113" s="5" t="s">
        <v>671</v>
      </c>
      <c r="C113" s="49" t="s">
        <v>115</v>
      </c>
      <c r="D113" s="349">
        <f t="shared" si="11"/>
        <v>48</v>
      </c>
      <c r="E113" s="350" t="s">
        <v>818</v>
      </c>
      <c r="F113" s="51" t="s">
        <v>25</v>
      </c>
      <c r="G113" s="351" t="s">
        <v>683</v>
      </c>
      <c r="H113" s="351" t="s">
        <v>1602</v>
      </c>
      <c r="I113" s="351" t="s">
        <v>1603</v>
      </c>
      <c r="J113" s="351" t="s">
        <v>3811</v>
      </c>
      <c r="K113" s="354">
        <v>13789</v>
      </c>
      <c r="L113" s="355">
        <v>20110</v>
      </c>
      <c r="M113" s="354">
        <v>9999</v>
      </c>
      <c r="N113" s="355">
        <v>10023</v>
      </c>
      <c r="O113" s="355">
        <v>12047</v>
      </c>
      <c r="P113" s="355">
        <v>10217</v>
      </c>
      <c r="Q113" s="355">
        <v>10019</v>
      </c>
      <c r="R113" s="355">
        <v>10419</v>
      </c>
      <c r="S113" s="355">
        <v>9215</v>
      </c>
      <c r="T113" s="355">
        <v>9639</v>
      </c>
      <c r="U113" s="59">
        <f t="shared" si="13"/>
        <v>9215</v>
      </c>
      <c r="V113" s="59">
        <f t="shared" si="14"/>
        <v>20110</v>
      </c>
      <c r="W113" s="59">
        <f t="shared" si="15"/>
        <v>11547.7</v>
      </c>
      <c r="X113" s="60">
        <f t="shared" si="16"/>
        <v>69.90354630502574</v>
      </c>
      <c r="Y113" s="65">
        <v>112</v>
      </c>
      <c r="Z113" s="65" t="str">
        <f>_xlfn.IFERROR(INDEX('Tabela PW'!$C:$F,'Słownik PW'!C113,1),"")</f>
        <v/>
      </c>
      <c r="AA113" s="65" t="str">
        <f>_xlfn.IFERROR(INDEX('Tabela PW'!$C:$F,'Słownik PW'!C113,4),"")</f>
        <v/>
      </c>
      <c r="AB113" s="65" t="str">
        <f t="shared" si="17"/>
        <v/>
      </c>
      <c r="AC113" s="65" t="str">
        <f>_xlfn.IFERROR(INDEX('Tabela PW'!$K:$K,'Słownik PW'!C113,1),"")</f>
        <v/>
      </c>
      <c r="AD113" s="65" t="str">
        <f>_xlfn.IFERROR(INDEX('Tabela PW'!$L:$L,'Słownik PW'!C113,1),"")</f>
        <v/>
      </c>
      <c r="AE113" s="65" t="str">
        <f>_xlfn.IFERROR(INDEX('Tabela PW'!$M:$M,'Słownik PW'!C113,1),"")</f>
        <v/>
      </c>
      <c r="AF113" s="65" t="str">
        <f>_xlfn.IFERROR(INDEX('Tabela PW'!$N:$N,'Słownik PW'!C113,1),"")</f>
        <v/>
      </c>
      <c r="AG113" s="65" t="str">
        <f>_xlfn.IFERROR(INDEX('Tabela PW'!$O:$O,'Słownik PW'!C113,1),"")</f>
        <v/>
      </c>
      <c r="AH113" s="65" t="str">
        <f>_xlfn.IFERROR(INDEX('Tabela PW'!$P:$P,'Słownik PW'!C113,1),"")</f>
        <v/>
      </c>
      <c r="AI113" s="65" t="str">
        <f>_xlfn.IFERROR(INDEX('Tabela PW'!$Q:$Q,'Słownik PW'!C113,1),"")</f>
        <v/>
      </c>
      <c r="AJ113" s="65" t="str">
        <f>_xlfn.IFERROR(INDEX('Tabela PW'!$R:$R,'Słownik PW'!C113,1),"")</f>
        <v/>
      </c>
      <c r="AK113" s="65" t="str">
        <f>_xlfn.IFERROR(INDEX('Tabela PW'!$S:$S,'Słownik PW'!C113,1),"")</f>
        <v/>
      </c>
      <c r="AL113" s="65" t="str">
        <f>_xlfn.IFERROR(INDEX('Tabela PW'!$T:$T,'Słownik PW'!C113,1),"")</f>
        <v/>
      </c>
      <c r="AM113" s="65" t="str">
        <f>_xlfn.IFERROR(INDEX('Tabela PW'!$U:$X,'Słownik PW'!C113,1),"")</f>
        <v/>
      </c>
      <c r="AN113" s="65" t="str">
        <f>_xlfn.IFERROR(INDEX('Tabela PW'!$U:$X,'Słownik PW'!C113,2),"")</f>
        <v/>
      </c>
      <c r="AO113" s="66" t="str">
        <f>_xlfn.IFERROR(INDEX('Tabela PW'!$U:$X,'Słownik PW'!C113,3),"")</f>
        <v/>
      </c>
      <c r="AP113" s="67" t="str">
        <f>_xlfn.IFERROR(INDEX('Tabela PW'!$U:$X,'Słownik PW'!C113,4),"")</f>
        <v/>
      </c>
      <c r="AQ113" s="66" t="str">
        <f>_xlfn.IFERROR(INDEX('Tabela PW'!$U:$X,'Słownik PW'!C113,5),"")</f>
        <v/>
      </c>
      <c r="AR113" s="67" t="str">
        <f>_xlfn.IFERROR(INDEX('Tabela PW'!$U:$X,'Słownik PW'!C113,6),"")</f>
        <v/>
      </c>
      <c r="AS113" s="67" t="str">
        <f>_xlfn.IFERROR(INDEX('Tabela PW'!$U:$X,'Słownik PW'!C113,7),"")</f>
        <v/>
      </c>
      <c r="AT113" s="65"/>
      <c r="AU113" s="65"/>
      <c r="AV113" s="65"/>
      <c r="AW113" s="65"/>
      <c r="AX113" s="65"/>
      <c r="AY113" s="65"/>
      <c r="AZ113" s="65"/>
      <c r="BA113" s="65"/>
      <c r="BB113" s="65"/>
      <c r="BC113" s="65"/>
      <c r="BD113" s="65"/>
      <c r="BE113" s="65"/>
      <c r="BF113" s="65"/>
      <c r="BG113" s="65"/>
      <c r="BH113" s="68"/>
      <c r="BI113" s="65"/>
    </row>
    <row r="114" spans="1:61" ht="15">
      <c r="A114" s="4" t="s">
        <v>67</v>
      </c>
      <c r="B114" s="5" t="s">
        <v>671</v>
      </c>
      <c r="C114" s="49" t="s">
        <v>116</v>
      </c>
      <c r="D114" s="349">
        <f t="shared" si="11"/>
        <v>47</v>
      </c>
      <c r="E114" s="350" t="s">
        <v>819</v>
      </c>
      <c r="F114" s="51" t="s">
        <v>25</v>
      </c>
      <c r="G114" s="351" t="s">
        <v>683</v>
      </c>
      <c r="H114" s="351" t="s">
        <v>1604</v>
      </c>
      <c r="I114" s="351" t="s">
        <v>1605</v>
      </c>
      <c r="J114" s="351" t="s">
        <v>3812</v>
      </c>
      <c r="K114" s="354">
        <v>300677</v>
      </c>
      <c r="L114" s="355">
        <v>290424</v>
      </c>
      <c r="M114" s="354">
        <v>255854</v>
      </c>
      <c r="N114" s="355">
        <v>265399</v>
      </c>
      <c r="O114" s="355">
        <v>252334</v>
      </c>
      <c r="P114" s="355">
        <v>264144</v>
      </c>
      <c r="Q114" s="355">
        <v>266501</v>
      </c>
      <c r="R114" s="355">
        <v>266118</v>
      </c>
      <c r="S114" s="355">
        <v>236479</v>
      </c>
      <c r="T114" s="355">
        <v>229305</v>
      </c>
      <c r="U114" s="59">
        <f t="shared" si="13"/>
        <v>229305</v>
      </c>
      <c r="V114" s="59">
        <f t="shared" si="14"/>
        <v>300677</v>
      </c>
      <c r="W114" s="59">
        <f t="shared" si="15"/>
        <v>262723.5</v>
      </c>
      <c r="X114" s="60">
        <f t="shared" si="16"/>
        <v>76.26290005554132</v>
      </c>
      <c r="Y114" s="65">
        <v>113</v>
      </c>
      <c r="Z114" s="65" t="str">
        <f>_xlfn.IFERROR(INDEX('Tabela PW'!$C:$F,'Słownik PW'!C114,1),"")</f>
        <v/>
      </c>
      <c r="AA114" s="65" t="str">
        <f>_xlfn.IFERROR(INDEX('Tabela PW'!$C:$F,'Słownik PW'!C114,4),"")</f>
        <v/>
      </c>
      <c r="AB114" s="65" t="str">
        <f t="shared" si="17"/>
        <v/>
      </c>
      <c r="AC114" s="65" t="str">
        <f>_xlfn.IFERROR(INDEX('Tabela PW'!$K:$K,'Słownik PW'!C114,1),"")</f>
        <v/>
      </c>
      <c r="AD114" s="65" t="str">
        <f>_xlfn.IFERROR(INDEX('Tabela PW'!$L:$L,'Słownik PW'!C114,1),"")</f>
        <v/>
      </c>
      <c r="AE114" s="65" t="str">
        <f>_xlfn.IFERROR(INDEX('Tabela PW'!$M:$M,'Słownik PW'!C114,1),"")</f>
        <v/>
      </c>
      <c r="AF114" s="65" t="str">
        <f>_xlfn.IFERROR(INDEX('Tabela PW'!$N:$N,'Słownik PW'!C114,1),"")</f>
        <v/>
      </c>
      <c r="AG114" s="65" t="str">
        <f>_xlfn.IFERROR(INDEX('Tabela PW'!$O:$O,'Słownik PW'!C114,1),"")</f>
        <v/>
      </c>
      <c r="AH114" s="65" t="str">
        <f>_xlfn.IFERROR(INDEX('Tabela PW'!$P:$P,'Słownik PW'!C114,1),"")</f>
        <v/>
      </c>
      <c r="AI114" s="65" t="str">
        <f>_xlfn.IFERROR(INDEX('Tabela PW'!$Q:$Q,'Słownik PW'!C114,1),"")</f>
        <v/>
      </c>
      <c r="AJ114" s="65" t="str">
        <f>_xlfn.IFERROR(INDEX('Tabela PW'!$R:$R,'Słownik PW'!C114,1),"")</f>
        <v/>
      </c>
      <c r="AK114" s="65" t="str">
        <f>_xlfn.IFERROR(INDEX('Tabela PW'!$S:$S,'Słownik PW'!C114,1),"")</f>
        <v/>
      </c>
      <c r="AL114" s="65" t="str">
        <f>_xlfn.IFERROR(INDEX('Tabela PW'!$T:$T,'Słownik PW'!C114,1),"")</f>
        <v/>
      </c>
      <c r="AM114" s="65" t="str">
        <f>_xlfn.IFERROR(INDEX('Tabela PW'!$U:$X,'Słownik PW'!C114,1),"")</f>
        <v/>
      </c>
      <c r="AN114" s="65" t="str">
        <f>_xlfn.IFERROR(INDEX('Tabela PW'!$U:$X,'Słownik PW'!C114,2),"")</f>
        <v/>
      </c>
      <c r="AO114" s="66" t="str">
        <f>_xlfn.IFERROR(INDEX('Tabela PW'!$U:$X,'Słownik PW'!C114,3),"")</f>
        <v/>
      </c>
      <c r="AP114" s="67" t="str">
        <f>_xlfn.IFERROR(INDEX('Tabela PW'!$U:$X,'Słownik PW'!C114,4),"")</f>
        <v/>
      </c>
      <c r="AQ114" s="66" t="str">
        <f>_xlfn.IFERROR(INDEX('Tabela PW'!$U:$X,'Słownik PW'!C114,5),"")</f>
        <v/>
      </c>
      <c r="AR114" s="67" t="str">
        <f>_xlfn.IFERROR(INDEX('Tabela PW'!$U:$X,'Słownik PW'!C114,6),"")</f>
        <v/>
      </c>
      <c r="AS114" s="67" t="str">
        <f>_xlfn.IFERROR(INDEX('Tabela PW'!$U:$X,'Słownik PW'!C114,7),"")</f>
        <v/>
      </c>
      <c r="AT114" s="65"/>
      <c r="AU114" s="65"/>
      <c r="AV114" s="65"/>
      <c r="AW114" s="65"/>
      <c r="AX114" s="65"/>
      <c r="AY114" s="65"/>
      <c r="AZ114" s="65"/>
      <c r="BA114" s="65"/>
      <c r="BB114" s="65"/>
      <c r="BC114" s="65"/>
      <c r="BD114" s="65"/>
      <c r="BE114" s="65"/>
      <c r="BF114" s="65"/>
      <c r="BG114" s="65"/>
      <c r="BH114" s="68"/>
      <c r="BI114" s="65"/>
    </row>
    <row r="115" spans="1:61" ht="15">
      <c r="A115" s="4" t="s">
        <v>67</v>
      </c>
      <c r="B115" s="5" t="s">
        <v>671</v>
      </c>
      <c r="C115" s="49" t="s">
        <v>117</v>
      </c>
      <c r="D115" s="349">
        <f t="shared" si="11"/>
        <v>34</v>
      </c>
      <c r="E115" s="350" t="s">
        <v>820</v>
      </c>
      <c r="F115" s="51" t="s">
        <v>25</v>
      </c>
      <c r="G115" s="351" t="s">
        <v>683</v>
      </c>
      <c r="H115" s="351" t="s">
        <v>1606</v>
      </c>
      <c r="I115" s="351" t="s">
        <v>1607</v>
      </c>
      <c r="J115" s="351" t="s">
        <v>3813</v>
      </c>
      <c r="K115" s="354">
        <v>70714</v>
      </c>
      <c r="L115" s="355">
        <v>70187</v>
      </c>
      <c r="M115" s="354">
        <v>81183</v>
      </c>
      <c r="N115" s="355">
        <v>86903</v>
      </c>
      <c r="O115" s="355">
        <v>79036</v>
      </c>
      <c r="P115" s="355">
        <v>90333</v>
      </c>
      <c r="Q115" s="355">
        <v>95734</v>
      </c>
      <c r="R115" s="355">
        <v>99187</v>
      </c>
      <c r="S115" s="355">
        <v>86718</v>
      </c>
      <c r="T115" s="355">
        <v>85943</v>
      </c>
      <c r="U115" s="59">
        <f t="shared" si="13"/>
        <v>70187</v>
      </c>
      <c r="V115" s="59">
        <f t="shared" si="14"/>
        <v>99187</v>
      </c>
      <c r="W115" s="59">
        <f t="shared" si="15"/>
        <v>84593.8</v>
      </c>
      <c r="X115" s="60">
        <f t="shared" si="16"/>
        <v>121.53604661028933</v>
      </c>
      <c r="Y115" s="65">
        <v>114</v>
      </c>
      <c r="Z115" s="65" t="str">
        <f>_xlfn.IFERROR(INDEX('Tabela PW'!$C:$F,'Słownik PW'!C115,1),"")</f>
        <v/>
      </c>
      <c r="AA115" s="65" t="str">
        <f>_xlfn.IFERROR(INDEX('Tabela PW'!$C:$F,'Słownik PW'!C115,4),"")</f>
        <v/>
      </c>
      <c r="AB115" s="65" t="str">
        <f t="shared" si="17"/>
        <v/>
      </c>
      <c r="AC115" s="65" t="str">
        <f>_xlfn.IFERROR(INDEX('Tabela PW'!$K:$K,'Słownik PW'!C115,1),"")</f>
        <v/>
      </c>
      <c r="AD115" s="65" t="str">
        <f>_xlfn.IFERROR(INDEX('Tabela PW'!$L:$L,'Słownik PW'!C115,1),"")</f>
        <v/>
      </c>
      <c r="AE115" s="65" t="str">
        <f>_xlfn.IFERROR(INDEX('Tabela PW'!$M:$M,'Słownik PW'!C115,1),"")</f>
        <v/>
      </c>
      <c r="AF115" s="65" t="str">
        <f>_xlfn.IFERROR(INDEX('Tabela PW'!$N:$N,'Słownik PW'!C115,1),"")</f>
        <v/>
      </c>
      <c r="AG115" s="65" t="str">
        <f>_xlfn.IFERROR(INDEX('Tabela PW'!$O:$O,'Słownik PW'!C115,1),"")</f>
        <v/>
      </c>
      <c r="AH115" s="65" t="str">
        <f>_xlfn.IFERROR(INDEX('Tabela PW'!$P:$P,'Słownik PW'!C115,1),"")</f>
        <v/>
      </c>
      <c r="AI115" s="65" t="str">
        <f>_xlfn.IFERROR(INDEX('Tabela PW'!$Q:$Q,'Słownik PW'!C115,1),"")</f>
        <v/>
      </c>
      <c r="AJ115" s="65" t="str">
        <f>_xlfn.IFERROR(INDEX('Tabela PW'!$R:$R,'Słownik PW'!C115,1),"")</f>
        <v/>
      </c>
      <c r="AK115" s="65" t="str">
        <f>_xlfn.IFERROR(INDEX('Tabela PW'!$S:$S,'Słownik PW'!C115,1),"")</f>
        <v/>
      </c>
      <c r="AL115" s="65" t="str">
        <f>_xlfn.IFERROR(INDEX('Tabela PW'!$T:$T,'Słownik PW'!C115,1),"")</f>
        <v/>
      </c>
      <c r="AM115" s="65" t="str">
        <f>_xlfn.IFERROR(INDEX('Tabela PW'!$U:$X,'Słownik PW'!C115,1),"")</f>
        <v/>
      </c>
      <c r="AN115" s="65" t="str">
        <f>_xlfn.IFERROR(INDEX('Tabela PW'!$U:$X,'Słownik PW'!C115,2),"")</f>
        <v/>
      </c>
      <c r="AO115" s="66" t="str">
        <f>_xlfn.IFERROR(INDEX('Tabela PW'!$U:$X,'Słownik PW'!C115,3),"")</f>
        <v/>
      </c>
      <c r="AP115" s="67" t="str">
        <f>_xlfn.IFERROR(INDEX('Tabela PW'!$U:$X,'Słownik PW'!C115,4),"")</f>
        <v/>
      </c>
      <c r="AQ115" s="66" t="str">
        <f>_xlfn.IFERROR(INDEX('Tabela PW'!$U:$X,'Słownik PW'!C115,5),"")</f>
        <v/>
      </c>
      <c r="AR115" s="67" t="str">
        <f>_xlfn.IFERROR(INDEX('Tabela PW'!$U:$X,'Słownik PW'!C115,6),"")</f>
        <v/>
      </c>
      <c r="AS115" s="67" t="str">
        <f>_xlfn.IFERROR(INDEX('Tabela PW'!$U:$X,'Słownik PW'!C115,7),"")</f>
        <v/>
      </c>
      <c r="AT115" s="65"/>
      <c r="AU115" s="65"/>
      <c r="AV115" s="65"/>
      <c r="AW115" s="65"/>
      <c r="AX115" s="65"/>
      <c r="AY115" s="65"/>
      <c r="AZ115" s="65"/>
      <c r="BA115" s="65"/>
      <c r="BB115" s="65"/>
      <c r="BC115" s="65"/>
      <c r="BD115" s="65"/>
      <c r="BE115" s="65"/>
      <c r="BF115" s="65"/>
      <c r="BG115" s="65"/>
      <c r="BH115" s="68"/>
      <c r="BI115" s="65"/>
    </row>
    <row r="116" spans="1:61" ht="15">
      <c r="A116" s="4" t="s">
        <v>67</v>
      </c>
      <c r="B116" s="5" t="s">
        <v>671</v>
      </c>
      <c r="C116" s="49" t="s">
        <v>118</v>
      </c>
      <c r="D116" s="349">
        <f t="shared" si="11"/>
        <v>19</v>
      </c>
      <c r="E116" s="350" t="s">
        <v>821</v>
      </c>
      <c r="F116" s="51" t="s">
        <v>25</v>
      </c>
      <c r="G116" s="351" t="s">
        <v>683</v>
      </c>
      <c r="H116" s="351" t="s">
        <v>1608</v>
      </c>
      <c r="I116" s="351" t="s">
        <v>1609</v>
      </c>
      <c r="J116" s="351" t="s">
        <v>3814</v>
      </c>
      <c r="K116" s="354">
        <v>79068</v>
      </c>
      <c r="L116" s="355">
        <v>65618</v>
      </c>
      <c r="M116" s="354">
        <v>68709</v>
      </c>
      <c r="N116" s="355">
        <v>85371</v>
      </c>
      <c r="O116" s="355">
        <v>72859</v>
      </c>
      <c r="P116" s="355">
        <v>73453</v>
      </c>
      <c r="Q116" s="355">
        <v>71300</v>
      </c>
      <c r="R116" s="355">
        <v>71714</v>
      </c>
      <c r="S116" s="355">
        <v>78239</v>
      </c>
      <c r="T116" s="355">
        <v>75695</v>
      </c>
      <c r="U116" s="59">
        <f t="shared" si="13"/>
        <v>65618</v>
      </c>
      <c r="V116" s="59">
        <f t="shared" si="14"/>
        <v>85371</v>
      </c>
      <c r="W116" s="59">
        <f t="shared" si="15"/>
        <v>74202.6</v>
      </c>
      <c r="X116" s="60">
        <f t="shared" si="16"/>
        <v>95.73405170233217</v>
      </c>
      <c r="Y116" s="65">
        <v>115</v>
      </c>
      <c r="Z116" s="65" t="str">
        <f>_xlfn.IFERROR(INDEX('Tabela PW'!$C:$F,'Słownik PW'!C116,1),"")</f>
        <v/>
      </c>
      <c r="AA116" s="65" t="str">
        <f>_xlfn.IFERROR(INDEX('Tabela PW'!$C:$F,'Słownik PW'!C116,4),"")</f>
        <v/>
      </c>
      <c r="AB116" s="65" t="str">
        <f t="shared" si="17"/>
        <v/>
      </c>
      <c r="AC116" s="65" t="str">
        <f>_xlfn.IFERROR(INDEX('Tabela PW'!$K:$K,'Słownik PW'!C116,1),"")</f>
        <v/>
      </c>
      <c r="AD116" s="65" t="str">
        <f>_xlfn.IFERROR(INDEX('Tabela PW'!$L:$L,'Słownik PW'!C116,1),"")</f>
        <v/>
      </c>
      <c r="AE116" s="65" t="str">
        <f>_xlfn.IFERROR(INDEX('Tabela PW'!$M:$M,'Słownik PW'!C116,1),"")</f>
        <v/>
      </c>
      <c r="AF116" s="65" t="str">
        <f>_xlfn.IFERROR(INDEX('Tabela PW'!$N:$N,'Słownik PW'!C116,1),"")</f>
        <v/>
      </c>
      <c r="AG116" s="65" t="str">
        <f>_xlfn.IFERROR(INDEX('Tabela PW'!$O:$O,'Słownik PW'!C116,1),"")</f>
        <v/>
      </c>
      <c r="AH116" s="65" t="str">
        <f>_xlfn.IFERROR(INDEX('Tabela PW'!$P:$P,'Słownik PW'!C116,1),"")</f>
        <v/>
      </c>
      <c r="AI116" s="65" t="str">
        <f>_xlfn.IFERROR(INDEX('Tabela PW'!$Q:$Q,'Słownik PW'!C116,1),"")</f>
        <v/>
      </c>
      <c r="AJ116" s="65" t="str">
        <f>_xlfn.IFERROR(INDEX('Tabela PW'!$R:$R,'Słownik PW'!C116,1),"")</f>
        <v/>
      </c>
      <c r="AK116" s="65" t="str">
        <f>_xlfn.IFERROR(INDEX('Tabela PW'!$S:$S,'Słownik PW'!C116,1),"")</f>
        <v/>
      </c>
      <c r="AL116" s="65" t="str">
        <f>_xlfn.IFERROR(INDEX('Tabela PW'!$T:$T,'Słownik PW'!C116,1),"")</f>
        <v/>
      </c>
      <c r="AM116" s="65" t="str">
        <f>_xlfn.IFERROR(INDEX('Tabela PW'!$U:$X,'Słownik PW'!C116,1),"")</f>
        <v/>
      </c>
      <c r="AN116" s="65" t="str">
        <f>_xlfn.IFERROR(INDEX('Tabela PW'!$U:$X,'Słownik PW'!C116,2),"")</f>
        <v/>
      </c>
      <c r="AO116" s="66" t="str">
        <f>_xlfn.IFERROR(INDEX('Tabela PW'!$U:$X,'Słownik PW'!C116,3),"")</f>
        <v/>
      </c>
      <c r="AP116" s="67" t="str">
        <f>_xlfn.IFERROR(INDEX('Tabela PW'!$U:$X,'Słownik PW'!C116,4),"")</f>
        <v/>
      </c>
      <c r="AQ116" s="66" t="str">
        <f>_xlfn.IFERROR(INDEX('Tabela PW'!$U:$X,'Słownik PW'!C116,5),"")</f>
        <v/>
      </c>
      <c r="AR116" s="67" t="str">
        <f>_xlfn.IFERROR(INDEX('Tabela PW'!$U:$X,'Słownik PW'!C116,6),"")</f>
        <v/>
      </c>
      <c r="AS116" s="67" t="str">
        <f>_xlfn.IFERROR(INDEX('Tabela PW'!$U:$X,'Słownik PW'!C116,7),"")</f>
        <v/>
      </c>
      <c r="AT116" s="65"/>
      <c r="AU116" s="65"/>
      <c r="AV116" s="65"/>
      <c r="AW116" s="65"/>
      <c r="AX116" s="65"/>
      <c r="AY116" s="65"/>
      <c r="AZ116" s="65"/>
      <c r="BA116" s="65"/>
      <c r="BB116" s="65"/>
      <c r="BC116" s="65"/>
      <c r="BD116" s="65"/>
      <c r="BE116" s="65"/>
      <c r="BF116" s="65"/>
      <c r="BG116" s="65"/>
      <c r="BH116" s="68"/>
      <c r="BI116" s="65"/>
    </row>
    <row r="117" spans="1:61" ht="15">
      <c r="A117" s="4" t="s">
        <v>67</v>
      </c>
      <c r="B117" s="5" t="s">
        <v>671</v>
      </c>
      <c r="C117" s="49" t="s">
        <v>119</v>
      </c>
      <c r="D117" s="349">
        <f t="shared" si="11"/>
        <v>39</v>
      </c>
      <c r="E117" s="350" t="s">
        <v>822</v>
      </c>
      <c r="F117" s="51" t="s">
        <v>25</v>
      </c>
      <c r="G117" s="351" t="s">
        <v>683</v>
      </c>
      <c r="H117" s="351" t="s">
        <v>1610</v>
      </c>
      <c r="I117" s="351" t="s">
        <v>1611</v>
      </c>
      <c r="J117" s="351" t="s">
        <v>3815</v>
      </c>
      <c r="K117" s="354">
        <v>7906028</v>
      </c>
      <c r="L117" s="355">
        <v>7738378</v>
      </c>
      <c r="M117" s="354">
        <v>8413445</v>
      </c>
      <c r="N117" s="355">
        <v>8573920</v>
      </c>
      <c r="O117" s="355">
        <v>8868469</v>
      </c>
      <c r="P117" s="355">
        <v>9308042</v>
      </c>
      <c r="Q117" s="355">
        <v>10093367</v>
      </c>
      <c r="R117" s="355">
        <v>10994671</v>
      </c>
      <c r="S117" s="355">
        <v>11228008</v>
      </c>
      <c r="T117" s="355">
        <v>11217760</v>
      </c>
      <c r="U117" s="59">
        <f t="shared" si="13"/>
        <v>7738378</v>
      </c>
      <c r="V117" s="59">
        <f t="shared" si="14"/>
        <v>11228008</v>
      </c>
      <c r="W117" s="59">
        <f t="shared" si="15"/>
        <v>9434208.8</v>
      </c>
      <c r="X117" s="60">
        <f t="shared" si="16"/>
        <v>141.888695562424</v>
      </c>
      <c r="Y117" s="65">
        <v>116</v>
      </c>
      <c r="Z117" s="65" t="str">
        <f>_xlfn.IFERROR(INDEX('Tabela PW'!$C:$F,'Słownik PW'!C117,1),"")</f>
        <v/>
      </c>
      <c r="AA117" s="65" t="str">
        <f>_xlfn.IFERROR(INDEX('Tabela PW'!$C:$F,'Słownik PW'!C117,4),"")</f>
        <v/>
      </c>
      <c r="AB117" s="65" t="str">
        <f t="shared" si="17"/>
        <v/>
      </c>
      <c r="AC117" s="65" t="str">
        <f>_xlfn.IFERROR(INDEX('Tabela PW'!$K:$K,'Słownik PW'!C117,1),"")</f>
        <v/>
      </c>
      <c r="AD117" s="65" t="str">
        <f>_xlfn.IFERROR(INDEX('Tabela PW'!$L:$L,'Słownik PW'!C117,1),"")</f>
        <v/>
      </c>
      <c r="AE117" s="65" t="str">
        <f>_xlfn.IFERROR(INDEX('Tabela PW'!$M:$M,'Słownik PW'!C117,1),"")</f>
        <v/>
      </c>
      <c r="AF117" s="65" t="str">
        <f>_xlfn.IFERROR(INDEX('Tabela PW'!$N:$N,'Słownik PW'!C117,1),"")</f>
        <v/>
      </c>
      <c r="AG117" s="65" t="str">
        <f>_xlfn.IFERROR(INDEX('Tabela PW'!$O:$O,'Słownik PW'!C117,1),"")</f>
        <v/>
      </c>
      <c r="AH117" s="65" t="str">
        <f>_xlfn.IFERROR(INDEX('Tabela PW'!$P:$P,'Słownik PW'!C117,1),"")</f>
        <v/>
      </c>
      <c r="AI117" s="65" t="str">
        <f>_xlfn.IFERROR(INDEX('Tabela PW'!$Q:$Q,'Słownik PW'!C117,1),"")</f>
        <v/>
      </c>
      <c r="AJ117" s="65" t="str">
        <f>_xlfn.IFERROR(INDEX('Tabela PW'!$R:$R,'Słownik PW'!C117,1),"")</f>
        <v/>
      </c>
      <c r="AK117" s="65" t="str">
        <f>_xlfn.IFERROR(INDEX('Tabela PW'!$S:$S,'Słownik PW'!C117,1),"")</f>
        <v/>
      </c>
      <c r="AL117" s="65" t="str">
        <f>_xlfn.IFERROR(INDEX('Tabela PW'!$T:$T,'Słownik PW'!C117,1),"")</f>
        <v/>
      </c>
      <c r="AM117" s="65" t="str">
        <f>_xlfn.IFERROR(INDEX('Tabela PW'!$U:$X,'Słownik PW'!C117,1),"")</f>
        <v/>
      </c>
      <c r="AN117" s="65" t="str">
        <f>_xlfn.IFERROR(INDEX('Tabela PW'!$U:$X,'Słownik PW'!C117,2),"")</f>
        <v/>
      </c>
      <c r="AO117" s="66" t="str">
        <f>_xlfn.IFERROR(INDEX('Tabela PW'!$U:$X,'Słownik PW'!C117,3),"")</f>
        <v/>
      </c>
      <c r="AP117" s="67" t="str">
        <f>_xlfn.IFERROR(INDEX('Tabela PW'!$U:$X,'Słownik PW'!C117,4),"")</f>
        <v/>
      </c>
      <c r="AQ117" s="66" t="str">
        <f>_xlfn.IFERROR(INDEX('Tabela PW'!$U:$X,'Słownik PW'!C117,5),"")</f>
        <v/>
      </c>
      <c r="AR117" s="67" t="str">
        <f>_xlfn.IFERROR(INDEX('Tabela PW'!$U:$X,'Słownik PW'!C117,6),"")</f>
        <v/>
      </c>
      <c r="AS117" s="67" t="str">
        <f>_xlfn.IFERROR(INDEX('Tabela PW'!$U:$X,'Słownik PW'!C117,7),"")</f>
        <v/>
      </c>
      <c r="AT117" s="65"/>
      <c r="AU117" s="65"/>
      <c r="AV117" s="65"/>
      <c r="AW117" s="65"/>
      <c r="AX117" s="65"/>
      <c r="AY117" s="65"/>
      <c r="AZ117" s="65"/>
      <c r="BA117" s="65"/>
      <c r="BB117" s="65"/>
      <c r="BC117" s="65"/>
      <c r="BD117" s="65"/>
      <c r="BE117" s="65"/>
      <c r="BF117" s="65"/>
      <c r="BG117" s="65"/>
      <c r="BH117" s="68"/>
      <c r="BI117" s="65"/>
    </row>
    <row r="118" spans="1:61" ht="15">
      <c r="A118" s="4" t="s">
        <v>67</v>
      </c>
      <c r="B118" s="5" t="s">
        <v>671</v>
      </c>
      <c r="C118" s="49" t="s">
        <v>120</v>
      </c>
      <c r="D118" s="349">
        <f t="shared" si="11"/>
        <v>34</v>
      </c>
      <c r="E118" s="350" t="s">
        <v>823</v>
      </c>
      <c r="F118" s="51" t="s">
        <v>25</v>
      </c>
      <c r="G118" s="351" t="s">
        <v>683</v>
      </c>
      <c r="H118" s="351" t="s">
        <v>1612</v>
      </c>
      <c r="I118" s="351" t="s">
        <v>1613</v>
      </c>
      <c r="J118" s="351" t="s">
        <v>3816</v>
      </c>
      <c r="K118" s="354">
        <v>354375</v>
      </c>
      <c r="L118" s="355">
        <v>362112</v>
      </c>
      <c r="M118" s="354">
        <v>393350</v>
      </c>
      <c r="N118" s="355">
        <v>403136</v>
      </c>
      <c r="O118" s="355">
        <v>447499</v>
      </c>
      <c r="P118" s="355">
        <v>495547</v>
      </c>
      <c r="Q118" s="355">
        <v>588236</v>
      </c>
      <c r="R118" s="355">
        <v>643640</v>
      </c>
      <c r="S118" s="355">
        <v>821432</v>
      </c>
      <c r="T118" s="355">
        <v>867806</v>
      </c>
      <c r="U118" s="59">
        <f t="shared" si="13"/>
        <v>354375</v>
      </c>
      <c r="V118" s="59">
        <f t="shared" si="14"/>
        <v>867806</v>
      </c>
      <c r="W118" s="59">
        <f t="shared" si="15"/>
        <v>537713.3</v>
      </c>
      <c r="X118" s="60">
        <f t="shared" si="16"/>
        <v>244.88352733686068</v>
      </c>
      <c r="Y118" s="65">
        <v>117</v>
      </c>
      <c r="Z118" s="65" t="str">
        <f>_xlfn.IFERROR(INDEX('Tabela PW'!$C:$F,'Słownik PW'!C118,1),"")</f>
        <v/>
      </c>
      <c r="AA118" s="65" t="str">
        <f>_xlfn.IFERROR(INDEX('Tabela PW'!$C:$F,'Słownik PW'!C118,4),"")</f>
        <v/>
      </c>
      <c r="AB118" s="65" t="str">
        <f t="shared" si="17"/>
        <v/>
      </c>
      <c r="AC118" s="65" t="str">
        <f>_xlfn.IFERROR(INDEX('Tabela PW'!$K:$K,'Słownik PW'!C118,1),"")</f>
        <v/>
      </c>
      <c r="AD118" s="65" t="str">
        <f>_xlfn.IFERROR(INDEX('Tabela PW'!$L:$L,'Słownik PW'!C118,1),"")</f>
        <v/>
      </c>
      <c r="AE118" s="65" t="str">
        <f>_xlfn.IFERROR(INDEX('Tabela PW'!$M:$M,'Słownik PW'!C118,1),"")</f>
        <v/>
      </c>
      <c r="AF118" s="65" t="str">
        <f>_xlfn.IFERROR(INDEX('Tabela PW'!$N:$N,'Słownik PW'!C118,1),"")</f>
        <v/>
      </c>
      <c r="AG118" s="65" t="str">
        <f>_xlfn.IFERROR(INDEX('Tabela PW'!$O:$O,'Słownik PW'!C118,1),"")</f>
        <v/>
      </c>
      <c r="AH118" s="65" t="str">
        <f>_xlfn.IFERROR(INDEX('Tabela PW'!$P:$P,'Słownik PW'!C118,1),"")</f>
        <v/>
      </c>
      <c r="AI118" s="65" t="str">
        <f>_xlfn.IFERROR(INDEX('Tabela PW'!$Q:$Q,'Słownik PW'!C118,1),"")</f>
        <v/>
      </c>
      <c r="AJ118" s="65" t="str">
        <f>_xlfn.IFERROR(INDEX('Tabela PW'!$R:$R,'Słownik PW'!C118,1),"")</f>
        <v/>
      </c>
      <c r="AK118" s="65" t="str">
        <f>_xlfn.IFERROR(INDEX('Tabela PW'!$S:$S,'Słownik PW'!C118,1),"")</f>
        <v/>
      </c>
      <c r="AL118" s="65" t="str">
        <f>_xlfn.IFERROR(INDEX('Tabela PW'!$T:$T,'Słownik PW'!C118,1),"")</f>
        <v/>
      </c>
      <c r="AM118" s="65" t="str">
        <f>_xlfn.IFERROR(INDEX('Tabela PW'!$U:$X,'Słownik PW'!C118,1),"")</f>
        <v/>
      </c>
      <c r="AN118" s="65" t="str">
        <f>_xlfn.IFERROR(INDEX('Tabela PW'!$U:$X,'Słownik PW'!C118,2),"")</f>
        <v/>
      </c>
      <c r="AO118" s="66" t="str">
        <f>_xlfn.IFERROR(INDEX('Tabela PW'!$U:$X,'Słownik PW'!C118,3),"")</f>
        <v/>
      </c>
      <c r="AP118" s="67" t="str">
        <f>_xlfn.IFERROR(INDEX('Tabela PW'!$U:$X,'Słownik PW'!C118,4),"")</f>
        <v/>
      </c>
      <c r="AQ118" s="66" t="str">
        <f>_xlfn.IFERROR(INDEX('Tabela PW'!$U:$X,'Słownik PW'!C118,5),"")</f>
        <v/>
      </c>
      <c r="AR118" s="67" t="str">
        <f>_xlfn.IFERROR(INDEX('Tabela PW'!$U:$X,'Słownik PW'!C118,6),"")</f>
        <v/>
      </c>
      <c r="AS118" s="67" t="str">
        <f>_xlfn.IFERROR(INDEX('Tabela PW'!$U:$X,'Słownik PW'!C118,7),"")</f>
        <v/>
      </c>
      <c r="AT118" s="65"/>
      <c r="AU118" s="65"/>
      <c r="AV118" s="65"/>
      <c r="AW118" s="65"/>
      <c r="AX118" s="65"/>
      <c r="AY118" s="65"/>
      <c r="AZ118" s="65"/>
      <c r="BA118" s="65"/>
      <c r="BB118" s="65"/>
      <c r="BC118" s="65"/>
      <c r="BD118" s="65"/>
      <c r="BE118" s="65"/>
      <c r="BF118" s="65"/>
      <c r="BG118" s="65"/>
      <c r="BH118" s="68"/>
      <c r="BI118" s="65"/>
    </row>
    <row r="119" spans="1:61" ht="15">
      <c r="A119" s="4" t="s">
        <v>121</v>
      </c>
      <c r="B119" s="5" t="s">
        <v>672</v>
      </c>
      <c r="C119" s="49" t="s">
        <v>122</v>
      </c>
      <c r="D119" s="349">
        <f t="shared" si="11"/>
        <v>12</v>
      </c>
      <c r="E119" s="350" t="s">
        <v>824</v>
      </c>
      <c r="F119" s="51" t="s">
        <v>123</v>
      </c>
      <c r="G119" s="351" t="s">
        <v>672</v>
      </c>
      <c r="H119" s="351" t="s">
        <v>1614</v>
      </c>
      <c r="I119" s="351" t="s">
        <v>1615</v>
      </c>
      <c r="J119" s="351" t="s">
        <v>3817</v>
      </c>
      <c r="K119" s="354">
        <v>1070126</v>
      </c>
      <c r="L119" s="355">
        <v>1035802</v>
      </c>
      <c r="M119" s="354">
        <v>1032199</v>
      </c>
      <c r="N119" s="355">
        <v>1156615</v>
      </c>
      <c r="O119" s="355">
        <v>881248</v>
      </c>
      <c r="P119" s="355">
        <v>960727</v>
      </c>
      <c r="Q119" s="355">
        <v>977017</v>
      </c>
      <c r="R119" s="355">
        <v>950054</v>
      </c>
      <c r="S119" s="355">
        <v>970778</v>
      </c>
      <c r="T119" s="355">
        <v>1056755</v>
      </c>
      <c r="U119" s="59">
        <f t="shared" si="13"/>
        <v>881248</v>
      </c>
      <c r="V119" s="59">
        <f t="shared" si="14"/>
        <v>1156615</v>
      </c>
      <c r="W119" s="59">
        <f t="shared" si="15"/>
        <v>1009132.1</v>
      </c>
      <c r="X119" s="60">
        <f t="shared" si="16"/>
        <v>98.7505209666899</v>
      </c>
      <c r="Y119" s="65">
        <v>118</v>
      </c>
      <c r="Z119" s="65" t="str">
        <f>_xlfn.IFERROR(INDEX('Tabela PW'!$C:$F,'Słownik PW'!C119,1),"")</f>
        <v/>
      </c>
      <c r="AA119" s="65" t="str">
        <f>_xlfn.IFERROR(INDEX('Tabela PW'!$C:$F,'Słownik PW'!C119,4),"")</f>
        <v/>
      </c>
      <c r="AB119" s="65" t="str">
        <f t="shared" si="17"/>
        <v/>
      </c>
      <c r="AC119" s="65" t="str">
        <f>_xlfn.IFERROR(INDEX('Tabela PW'!$K:$K,'Słownik PW'!C119,1),"")</f>
        <v/>
      </c>
      <c r="AD119" s="65" t="str">
        <f>_xlfn.IFERROR(INDEX('Tabela PW'!$L:$L,'Słownik PW'!C119,1),"")</f>
        <v/>
      </c>
      <c r="AE119" s="65" t="str">
        <f>_xlfn.IFERROR(INDEX('Tabela PW'!$M:$M,'Słownik PW'!C119,1),"")</f>
        <v/>
      </c>
      <c r="AF119" s="65" t="str">
        <f>_xlfn.IFERROR(INDEX('Tabela PW'!$N:$N,'Słownik PW'!C119,1),"")</f>
        <v/>
      </c>
      <c r="AG119" s="65" t="str">
        <f>_xlfn.IFERROR(INDEX('Tabela PW'!$O:$O,'Słownik PW'!C119,1),"")</f>
        <v/>
      </c>
      <c r="AH119" s="65" t="str">
        <f>_xlfn.IFERROR(INDEX('Tabela PW'!$P:$P,'Słownik PW'!C119,1),"")</f>
        <v/>
      </c>
      <c r="AI119" s="65" t="str">
        <f>_xlfn.IFERROR(INDEX('Tabela PW'!$Q:$Q,'Słownik PW'!C119,1),"")</f>
        <v/>
      </c>
      <c r="AJ119" s="65" t="str">
        <f>_xlfn.IFERROR(INDEX('Tabela PW'!$R:$R,'Słownik PW'!C119,1),"")</f>
        <v/>
      </c>
      <c r="AK119" s="65" t="str">
        <f>_xlfn.IFERROR(INDEX('Tabela PW'!$S:$S,'Słownik PW'!C119,1),"")</f>
        <v/>
      </c>
      <c r="AL119" s="65" t="str">
        <f>_xlfn.IFERROR(INDEX('Tabela PW'!$T:$T,'Słownik PW'!C119,1),"")</f>
        <v/>
      </c>
      <c r="AM119" s="65" t="str">
        <f>_xlfn.IFERROR(INDEX('Tabela PW'!$U:$X,'Słownik PW'!C119,1),"")</f>
        <v/>
      </c>
      <c r="AN119" s="65" t="str">
        <f>_xlfn.IFERROR(INDEX('Tabela PW'!$U:$X,'Słownik PW'!C119,2),"")</f>
        <v/>
      </c>
      <c r="AO119" s="66" t="str">
        <f>_xlfn.IFERROR(INDEX('Tabela PW'!$U:$X,'Słownik PW'!C119,3),"")</f>
        <v/>
      </c>
      <c r="AP119" s="67" t="str">
        <f>_xlfn.IFERROR(INDEX('Tabela PW'!$U:$X,'Słownik PW'!C119,4),"")</f>
        <v/>
      </c>
      <c r="AQ119" s="66" t="str">
        <f>_xlfn.IFERROR(INDEX('Tabela PW'!$U:$X,'Słownik PW'!C119,5),"")</f>
        <v/>
      </c>
      <c r="AR119" s="67" t="str">
        <f>_xlfn.IFERROR(INDEX('Tabela PW'!$U:$X,'Słownik PW'!C119,6),"")</f>
        <v/>
      </c>
      <c r="AS119" s="67" t="str">
        <f>_xlfn.IFERROR(INDEX('Tabela PW'!$U:$X,'Słownik PW'!C119,7),"")</f>
        <v/>
      </c>
      <c r="AT119" s="65"/>
      <c r="AU119" s="65"/>
      <c r="AV119" s="65"/>
      <c r="AW119" s="65"/>
      <c r="AX119" s="65"/>
      <c r="AY119" s="65"/>
      <c r="AZ119" s="65"/>
      <c r="BA119" s="65"/>
      <c r="BB119" s="65"/>
      <c r="BC119" s="65"/>
      <c r="BD119" s="65"/>
      <c r="BE119" s="65"/>
      <c r="BF119" s="65"/>
      <c r="BG119" s="65"/>
      <c r="BH119" s="68"/>
      <c r="BI119" s="65"/>
    </row>
    <row r="120" spans="1:38" ht="15">
      <c r="A120" s="4" t="s">
        <v>121</v>
      </c>
      <c r="B120" s="5" t="s">
        <v>672</v>
      </c>
      <c r="C120" s="49" t="s">
        <v>124</v>
      </c>
      <c r="D120" s="349">
        <f t="shared" si="11"/>
        <v>14</v>
      </c>
      <c r="E120" s="350" t="s">
        <v>825</v>
      </c>
      <c r="F120" s="51" t="s">
        <v>74</v>
      </c>
      <c r="G120" s="351" t="s">
        <v>671</v>
      </c>
      <c r="H120" s="351" t="s">
        <v>1616</v>
      </c>
      <c r="I120" s="351" t="s">
        <v>1617</v>
      </c>
      <c r="J120" s="351" t="s">
        <v>3818</v>
      </c>
      <c r="K120" s="354">
        <v>73149</v>
      </c>
      <c r="L120" s="355">
        <v>74866</v>
      </c>
      <c r="M120" s="354">
        <v>58691</v>
      </c>
      <c r="N120" s="355">
        <v>129442</v>
      </c>
      <c r="O120" s="355">
        <v>133878</v>
      </c>
      <c r="P120" s="355">
        <v>153044</v>
      </c>
      <c r="Q120" s="355">
        <v>148869</v>
      </c>
      <c r="R120" s="355">
        <v>155079</v>
      </c>
      <c r="S120" s="355">
        <v>140583</v>
      </c>
      <c r="T120" s="355">
        <v>137850</v>
      </c>
      <c r="U120" s="59">
        <f t="shared" si="13"/>
        <v>58691</v>
      </c>
      <c r="V120" s="59">
        <f t="shared" si="14"/>
        <v>155079</v>
      </c>
      <c r="W120" s="59">
        <f t="shared" si="15"/>
        <v>120545.1</v>
      </c>
      <c r="X120" s="60">
        <f t="shared" si="16"/>
        <v>188.4509699380716</v>
      </c>
      <c r="AC120" s="53"/>
      <c r="AL120" s="65">
        <f>_xlfn.IFERROR(INDEX('Tabela PW'!$T:$T,'Słownik PW'!C120,1),"")</f>
        <v>137850</v>
      </c>
    </row>
    <row r="121" spans="1:38" ht="15">
      <c r="A121" s="4" t="s">
        <v>121</v>
      </c>
      <c r="B121" s="5" t="s">
        <v>672</v>
      </c>
      <c r="C121" s="49" t="s">
        <v>125</v>
      </c>
      <c r="D121" s="349">
        <f t="shared" si="11"/>
        <v>11</v>
      </c>
      <c r="E121" s="350" t="s">
        <v>826</v>
      </c>
      <c r="F121" s="51" t="s">
        <v>74</v>
      </c>
      <c r="G121" s="351" t="s">
        <v>671</v>
      </c>
      <c r="H121" s="351" t="s">
        <v>1618</v>
      </c>
      <c r="I121" s="351" t="s">
        <v>1619</v>
      </c>
      <c r="J121" s="351" t="s">
        <v>3819</v>
      </c>
      <c r="K121" s="354">
        <v>9558</v>
      </c>
      <c r="L121" s="355">
        <v>10605</v>
      </c>
      <c r="M121" s="354">
        <v>9106</v>
      </c>
      <c r="N121" s="355">
        <v>9365</v>
      </c>
      <c r="O121" s="355">
        <v>9455</v>
      </c>
      <c r="P121" s="355">
        <v>8603</v>
      </c>
      <c r="Q121" s="355">
        <v>8423</v>
      </c>
      <c r="R121" s="355">
        <v>8817</v>
      </c>
      <c r="S121" s="355">
        <v>8128</v>
      </c>
      <c r="T121" s="355">
        <v>7119</v>
      </c>
      <c r="U121" s="59">
        <f t="shared" si="13"/>
        <v>7119</v>
      </c>
      <c r="V121" s="59">
        <f t="shared" si="14"/>
        <v>10605</v>
      </c>
      <c r="W121" s="59">
        <f t="shared" si="15"/>
        <v>8917.9</v>
      </c>
      <c r="X121" s="60">
        <f t="shared" si="16"/>
        <v>74.48210922787194</v>
      </c>
      <c r="AC121" s="53"/>
      <c r="AL121" s="65">
        <f>_xlfn.IFERROR(INDEX('Tabela PW'!$T:$T,'Słownik PW'!C121,1),"")</f>
        <v>7119</v>
      </c>
    </row>
    <row r="122" spans="1:38" ht="15">
      <c r="A122" s="4" t="s">
        <v>121</v>
      </c>
      <c r="B122" s="5" t="s">
        <v>672</v>
      </c>
      <c r="C122" s="49" t="s">
        <v>126</v>
      </c>
      <c r="D122" s="349">
        <f t="shared" si="11"/>
        <v>49</v>
      </c>
      <c r="E122" s="350" t="s">
        <v>827</v>
      </c>
      <c r="F122" s="51" t="s">
        <v>74</v>
      </c>
      <c r="G122" s="351" t="s">
        <v>671</v>
      </c>
      <c r="H122" s="351" t="s">
        <v>1620</v>
      </c>
      <c r="I122" s="351" t="s">
        <v>1621</v>
      </c>
      <c r="J122" s="351" t="s">
        <v>3820</v>
      </c>
      <c r="K122" s="354">
        <v>1733445</v>
      </c>
      <c r="L122" s="355">
        <v>1581192</v>
      </c>
      <c r="M122" s="354">
        <v>1416086</v>
      </c>
      <c r="N122" s="355">
        <v>1392326</v>
      </c>
      <c r="O122" s="355">
        <v>1382938</v>
      </c>
      <c r="P122" s="355">
        <v>1241177</v>
      </c>
      <c r="Q122" s="355">
        <v>1098256</v>
      </c>
      <c r="R122" s="355">
        <v>1040886</v>
      </c>
      <c r="S122" s="355">
        <v>978928</v>
      </c>
      <c r="T122" s="355">
        <v>946385</v>
      </c>
      <c r="U122" s="59">
        <f t="shared" si="13"/>
        <v>946385</v>
      </c>
      <c r="V122" s="59">
        <f t="shared" si="14"/>
        <v>1733445</v>
      </c>
      <c r="W122" s="59">
        <f t="shared" si="15"/>
        <v>1281161.9</v>
      </c>
      <c r="X122" s="60">
        <f t="shared" si="16"/>
        <v>54.595617397725334</v>
      </c>
      <c r="AC122" s="53"/>
      <c r="AL122" s="65">
        <f>_xlfn.IFERROR(INDEX('Tabela PW'!$T:$T,'Słownik PW'!C122,1),"")</f>
        <v>946385</v>
      </c>
    </row>
    <row r="123" spans="1:38" ht="15">
      <c r="A123" s="4" t="s">
        <v>121</v>
      </c>
      <c r="B123" s="5" t="s">
        <v>672</v>
      </c>
      <c r="C123" s="49" t="s">
        <v>127</v>
      </c>
      <c r="D123" s="349">
        <f t="shared" si="11"/>
        <v>25</v>
      </c>
      <c r="E123" s="350" t="s">
        <v>828</v>
      </c>
      <c r="F123" s="51" t="s">
        <v>74</v>
      </c>
      <c r="G123" s="351" t="s">
        <v>671</v>
      </c>
      <c r="H123" s="351" t="s">
        <v>1622</v>
      </c>
      <c r="I123" s="351" t="s">
        <v>1623</v>
      </c>
      <c r="J123" s="351" t="s">
        <v>3821</v>
      </c>
      <c r="K123" s="354">
        <v>36800441</v>
      </c>
      <c r="L123" s="355">
        <v>38066569</v>
      </c>
      <c r="M123" s="354">
        <v>39605072</v>
      </c>
      <c r="N123" s="355">
        <v>40001183</v>
      </c>
      <c r="O123" s="355">
        <v>40075287</v>
      </c>
      <c r="P123" s="355">
        <v>40889944</v>
      </c>
      <c r="Q123" s="355">
        <v>41369242</v>
      </c>
      <c r="R123" s="355">
        <v>40382245</v>
      </c>
      <c r="S123" s="355">
        <v>41482018</v>
      </c>
      <c r="T123" s="355">
        <v>40410736</v>
      </c>
      <c r="U123" s="59">
        <f t="shared" si="13"/>
        <v>36800441</v>
      </c>
      <c r="V123" s="59">
        <f t="shared" si="14"/>
        <v>41482018</v>
      </c>
      <c r="W123" s="59">
        <f t="shared" si="15"/>
        <v>39908273.7</v>
      </c>
      <c r="X123" s="60">
        <f t="shared" si="16"/>
        <v>109.81046667348362</v>
      </c>
      <c r="AC123" s="53"/>
      <c r="AL123" s="65">
        <f>_xlfn.IFERROR(INDEX('Tabela PW'!$T:$T,'Słownik PW'!C123,1),"")</f>
        <v>40410736</v>
      </c>
    </row>
    <row r="124" spans="1:38" ht="15">
      <c r="A124" s="4" t="s">
        <v>121</v>
      </c>
      <c r="B124" s="5" t="s">
        <v>672</v>
      </c>
      <c r="C124" s="49" t="s">
        <v>128</v>
      </c>
      <c r="D124" s="349">
        <f t="shared" si="11"/>
        <v>4</v>
      </c>
      <c r="E124" s="350" t="s">
        <v>829</v>
      </c>
      <c r="F124" s="51" t="s">
        <v>25</v>
      </c>
      <c r="G124" s="351" t="s">
        <v>683</v>
      </c>
      <c r="H124" s="351" t="s">
        <v>1624</v>
      </c>
      <c r="I124" s="351" t="s">
        <v>1625</v>
      </c>
      <c r="J124" s="351" t="s">
        <v>3822</v>
      </c>
      <c r="K124" s="354">
        <v>336713</v>
      </c>
      <c r="L124" s="355">
        <v>381991</v>
      </c>
      <c r="M124" s="354">
        <v>352801</v>
      </c>
      <c r="N124" s="355">
        <v>361191</v>
      </c>
      <c r="O124" s="355">
        <v>382716</v>
      </c>
      <c r="P124" s="355">
        <v>404117</v>
      </c>
      <c r="Q124" s="355">
        <v>400777</v>
      </c>
      <c r="R124" s="355">
        <v>439676</v>
      </c>
      <c r="S124" s="355">
        <v>400515</v>
      </c>
      <c r="T124" s="355">
        <v>411067</v>
      </c>
      <c r="U124" s="59">
        <f t="shared" si="13"/>
        <v>336713</v>
      </c>
      <c r="V124" s="59">
        <f t="shared" si="14"/>
        <v>439676</v>
      </c>
      <c r="W124" s="59">
        <f t="shared" si="15"/>
        <v>387156.4</v>
      </c>
      <c r="X124" s="60">
        <f t="shared" si="16"/>
        <v>122.08230748441551</v>
      </c>
      <c r="AC124" s="53"/>
      <c r="AL124" s="65">
        <f>_xlfn.IFERROR(INDEX('Tabela PW'!$T:$T,'Słownik PW'!C124,1),"")</f>
        <v>411067</v>
      </c>
    </row>
    <row r="125" spans="1:38" ht="15">
      <c r="A125" s="4" t="s">
        <v>121</v>
      </c>
      <c r="B125" s="5" t="s">
        <v>672</v>
      </c>
      <c r="C125" s="49" t="s">
        <v>129</v>
      </c>
      <c r="D125" s="349">
        <f t="shared" si="11"/>
        <v>62</v>
      </c>
      <c r="E125" s="350" t="s">
        <v>830</v>
      </c>
      <c r="F125" s="51" t="s">
        <v>74</v>
      </c>
      <c r="G125" s="351" t="s">
        <v>671</v>
      </c>
      <c r="H125" s="351" t="s">
        <v>1626</v>
      </c>
      <c r="I125" s="351" t="s">
        <v>1627</v>
      </c>
      <c r="J125" s="351" t="s">
        <v>3823</v>
      </c>
      <c r="K125" s="354">
        <v>30850895</v>
      </c>
      <c r="L125" s="355">
        <v>31347197</v>
      </c>
      <c r="M125" s="354">
        <v>32399537</v>
      </c>
      <c r="N125" s="355">
        <v>32940196</v>
      </c>
      <c r="O125" s="355">
        <v>35812081</v>
      </c>
      <c r="P125" s="355">
        <v>39003103</v>
      </c>
      <c r="Q125" s="355">
        <v>42466578</v>
      </c>
      <c r="R125" s="355">
        <v>43224332</v>
      </c>
      <c r="S125" s="355">
        <v>49752671</v>
      </c>
      <c r="T125" s="355">
        <v>47566659</v>
      </c>
      <c r="U125" s="59">
        <f t="shared" si="13"/>
        <v>30850895</v>
      </c>
      <c r="V125" s="59">
        <f t="shared" si="14"/>
        <v>49752671</v>
      </c>
      <c r="W125" s="59">
        <f t="shared" si="15"/>
        <v>38536324.9</v>
      </c>
      <c r="X125" s="60">
        <f t="shared" si="16"/>
        <v>154.18242809487376</v>
      </c>
      <c r="AC125" s="53"/>
      <c r="AL125" s="65">
        <f>_xlfn.IFERROR(INDEX('Tabela PW'!$T:$T,'Słownik PW'!C125,1),"")</f>
        <v>47566659</v>
      </c>
    </row>
    <row r="126" spans="1:38" ht="15">
      <c r="A126" s="4" t="s">
        <v>121</v>
      </c>
      <c r="B126" s="5" t="s">
        <v>672</v>
      </c>
      <c r="C126" s="49" t="s">
        <v>130</v>
      </c>
      <c r="D126" s="349">
        <f t="shared" si="11"/>
        <v>24</v>
      </c>
      <c r="E126" s="350" t="s">
        <v>831</v>
      </c>
      <c r="F126" s="51" t="s">
        <v>74</v>
      </c>
      <c r="G126" s="351" t="s">
        <v>671</v>
      </c>
      <c r="H126" s="351" t="s">
        <v>1628</v>
      </c>
      <c r="I126" s="351" t="s">
        <v>1629</v>
      </c>
      <c r="J126" s="351" t="s">
        <v>3824</v>
      </c>
      <c r="K126" s="354">
        <v>19853936</v>
      </c>
      <c r="L126" s="355">
        <v>20085946</v>
      </c>
      <c r="M126" s="354">
        <v>20165538</v>
      </c>
      <c r="N126" s="355">
        <v>18268833</v>
      </c>
      <c r="O126" s="355">
        <v>21324214</v>
      </c>
      <c r="P126" s="355">
        <v>23385988</v>
      </c>
      <c r="Q126" s="355">
        <v>27169073</v>
      </c>
      <c r="R126" s="355">
        <v>27474481</v>
      </c>
      <c r="S126" s="355">
        <v>29693900</v>
      </c>
      <c r="T126" s="355">
        <v>28935513</v>
      </c>
      <c r="U126" s="59">
        <f t="shared" si="13"/>
        <v>18268833</v>
      </c>
      <c r="V126" s="59">
        <f t="shared" si="14"/>
        <v>29693900</v>
      </c>
      <c r="W126" s="59">
        <f t="shared" si="15"/>
        <v>23635742.2</v>
      </c>
      <c r="X126" s="60">
        <f t="shared" si="16"/>
        <v>145.74194759165135</v>
      </c>
      <c r="AC126" s="53"/>
      <c r="AL126" s="65">
        <f>_xlfn.IFERROR(INDEX('Tabela PW'!$T:$T,'Słownik PW'!C126,1),"")</f>
        <v>28935513</v>
      </c>
    </row>
    <row r="127" spans="1:38" ht="15">
      <c r="A127" s="4" t="s">
        <v>121</v>
      </c>
      <c r="B127" s="5" t="s">
        <v>672</v>
      </c>
      <c r="C127" s="49" t="s">
        <v>131</v>
      </c>
      <c r="D127" s="349">
        <f t="shared" si="11"/>
        <v>110</v>
      </c>
      <c r="E127" s="350" t="s">
        <v>832</v>
      </c>
      <c r="F127" s="51" t="s">
        <v>74</v>
      </c>
      <c r="G127" s="351" t="s">
        <v>671</v>
      </c>
      <c r="H127" s="351" t="s">
        <v>1630</v>
      </c>
      <c r="I127" s="351" t="s">
        <v>1631</v>
      </c>
      <c r="J127" s="351" t="s">
        <v>3825</v>
      </c>
      <c r="K127" s="354">
        <v>26900620</v>
      </c>
      <c r="L127" s="355">
        <v>28085902</v>
      </c>
      <c r="M127" s="354">
        <v>27903682</v>
      </c>
      <c r="N127" s="355">
        <v>30281715</v>
      </c>
      <c r="O127" s="355">
        <v>29517530</v>
      </c>
      <c r="P127" s="355">
        <v>29943070</v>
      </c>
      <c r="Q127" s="355">
        <v>30988921</v>
      </c>
      <c r="R127" s="355">
        <v>33997206</v>
      </c>
      <c r="S127" s="355">
        <v>36989054</v>
      </c>
      <c r="T127" s="355">
        <v>36052050</v>
      </c>
      <c r="U127" s="59">
        <f t="shared" si="13"/>
        <v>26900620</v>
      </c>
      <c r="V127" s="59">
        <f t="shared" si="14"/>
        <v>36989054</v>
      </c>
      <c r="W127" s="59">
        <f t="shared" si="15"/>
        <v>31065975</v>
      </c>
      <c r="X127" s="60">
        <f t="shared" si="16"/>
        <v>134.01940178330463</v>
      </c>
      <c r="AC127" s="53"/>
      <c r="AL127" s="65">
        <f>_xlfn.IFERROR(INDEX('Tabela PW'!$T:$T,'Słownik PW'!C127,1),"")</f>
        <v>36052050</v>
      </c>
    </row>
    <row r="128" spans="1:38" ht="15">
      <c r="A128" s="4" t="s">
        <v>121</v>
      </c>
      <c r="B128" s="5" t="s">
        <v>672</v>
      </c>
      <c r="C128" s="49" t="s">
        <v>132</v>
      </c>
      <c r="D128" s="349">
        <f t="shared" si="11"/>
        <v>14</v>
      </c>
      <c r="E128" s="350" t="s">
        <v>833</v>
      </c>
      <c r="F128" s="51" t="s">
        <v>74</v>
      </c>
      <c r="G128" s="351" t="s">
        <v>671</v>
      </c>
      <c r="H128" s="351" t="s">
        <v>1632</v>
      </c>
      <c r="I128" s="351" t="s">
        <v>1633</v>
      </c>
      <c r="J128" s="351" t="s">
        <v>3826</v>
      </c>
      <c r="K128" s="354">
        <v>7637443</v>
      </c>
      <c r="L128" s="355">
        <v>8646588</v>
      </c>
      <c r="M128" s="354">
        <v>7959472</v>
      </c>
      <c r="N128" s="355">
        <v>7887065</v>
      </c>
      <c r="O128" s="355">
        <v>8063590</v>
      </c>
      <c r="P128" s="355">
        <v>8518966</v>
      </c>
      <c r="Q128" s="355">
        <v>8883410</v>
      </c>
      <c r="R128" s="355">
        <v>8909459</v>
      </c>
      <c r="S128" s="355">
        <v>9321848</v>
      </c>
      <c r="T128" s="355">
        <v>9300134</v>
      </c>
      <c r="U128" s="59">
        <f t="shared" si="13"/>
        <v>7637443</v>
      </c>
      <c r="V128" s="59">
        <f t="shared" si="14"/>
        <v>9321848</v>
      </c>
      <c r="W128" s="59">
        <f t="shared" si="15"/>
        <v>8512797.5</v>
      </c>
      <c r="X128" s="60">
        <f t="shared" si="16"/>
        <v>121.77025740159371</v>
      </c>
      <c r="AC128" s="53"/>
      <c r="AL128" s="65">
        <f>_xlfn.IFERROR(INDEX('Tabela PW'!$T:$T,'Słownik PW'!C128,1),"")</f>
        <v>9300134</v>
      </c>
    </row>
    <row r="129" spans="1:38" ht="15">
      <c r="A129" s="4" t="s">
        <v>121</v>
      </c>
      <c r="B129" s="5" t="s">
        <v>672</v>
      </c>
      <c r="C129" s="49" t="s">
        <v>132</v>
      </c>
      <c r="D129" s="349">
        <f t="shared" si="11"/>
        <v>14</v>
      </c>
      <c r="E129" s="350" t="s">
        <v>834</v>
      </c>
      <c r="F129" s="51" t="s">
        <v>25</v>
      </c>
      <c r="G129" s="351" t="s">
        <v>683</v>
      </c>
      <c r="H129" s="351" t="s">
        <v>1634</v>
      </c>
      <c r="I129" s="351" t="s">
        <v>1635</v>
      </c>
      <c r="J129" s="351" t="s">
        <v>3827</v>
      </c>
      <c r="K129" s="354">
        <v>784643</v>
      </c>
      <c r="L129" s="355">
        <v>886979</v>
      </c>
      <c r="M129" s="354">
        <v>814443</v>
      </c>
      <c r="N129" s="355">
        <v>806329</v>
      </c>
      <c r="O129" s="355">
        <v>824588</v>
      </c>
      <c r="P129" s="355">
        <v>869973</v>
      </c>
      <c r="Q129" s="355">
        <v>905753</v>
      </c>
      <c r="R129" s="355">
        <v>908203</v>
      </c>
      <c r="S129" s="355">
        <v>950833</v>
      </c>
      <c r="T129" s="355">
        <v>954225</v>
      </c>
      <c r="U129" s="59">
        <f t="shared" si="13"/>
        <v>784643</v>
      </c>
      <c r="V129" s="59">
        <f t="shared" si="14"/>
        <v>954225</v>
      </c>
      <c r="W129" s="59">
        <f t="shared" si="15"/>
        <v>870596.9</v>
      </c>
      <c r="X129" s="60">
        <f t="shared" si="16"/>
        <v>121.61263147699017</v>
      </c>
      <c r="AC129" s="53"/>
      <c r="AL129" s="65">
        <f>_xlfn.IFERROR(INDEX('Tabela PW'!$T:$T,'Słownik PW'!C129,1),"")</f>
        <v>954225</v>
      </c>
    </row>
    <row r="130" spans="1:38" ht="15">
      <c r="A130" s="4" t="s">
        <v>133</v>
      </c>
      <c r="B130" s="5" t="s">
        <v>673</v>
      </c>
      <c r="C130" s="49" t="s">
        <v>134</v>
      </c>
      <c r="D130" s="349">
        <f aca="true" t="shared" si="18" ref="D130:D193">LEN(C130)</f>
        <v>16</v>
      </c>
      <c r="E130" s="350" t="s">
        <v>835</v>
      </c>
      <c r="F130" s="51" t="s">
        <v>25</v>
      </c>
      <c r="G130" s="351" t="s">
        <v>683</v>
      </c>
      <c r="H130" s="351" t="s">
        <v>1636</v>
      </c>
      <c r="I130" s="351" t="s">
        <v>1637</v>
      </c>
      <c r="J130" s="351" t="s">
        <v>3828</v>
      </c>
      <c r="K130" s="354">
        <v>126828</v>
      </c>
      <c r="L130" s="355">
        <v>138177</v>
      </c>
      <c r="M130" s="354">
        <v>161100</v>
      </c>
      <c r="N130" s="355">
        <v>128721</v>
      </c>
      <c r="O130" s="355">
        <v>140855</v>
      </c>
      <c r="P130" s="355">
        <v>148269</v>
      </c>
      <c r="Q130" s="355">
        <v>157724</v>
      </c>
      <c r="R130" s="355">
        <v>171944</v>
      </c>
      <c r="S130" s="355">
        <v>210489</v>
      </c>
      <c r="T130" s="355">
        <v>236369</v>
      </c>
      <c r="U130" s="59">
        <f t="shared" si="13"/>
        <v>126828</v>
      </c>
      <c r="V130" s="59">
        <f t="shared" si="14"/>
        <v>236369</v>
      </c>
      <c r="W130" s="59">
        <f t="shared" si="15"/>
        <v>162047.6</v>
      </c>
      <c r="X130" s="60">
        <f t="shared" si="16"/>
        <v>186.3697290819062</v>
      </c>
      <c r="AC130" s="53"/>
      <c r="AL130" s="65">
        <f>_xlfn.IFERROR(INDEX('Tabela PW'!$T:$T,'Słownik PW'!C130,1),"")</f>
        <v>236369</v>
      </c>
    </row>
    <row r="131" spans="1:38" ht="15">
      <c r="A131" s="4" t="s">
        <v>133</v>
      </c>
      <c r="B131" s="5" t="s">
        <v>673</v>
      </c>
      <c r="C131" s="49" t="s">
        <v>135</v>
      </c>
      <c r="D131" s="349">
        <f t="shared" si="18"/>
        <v>60</v>
      </c>
      <c r="E131" s="350" t="s">
        <v>836</v>
      </c>
      <c r="F131" s="51" t="s">
        <v>136</v>
      </c>
      <c r="G131" s="351" t="s">
        <v>680</v>
      </c>
      <c r="H131" s="351" t="s">
        <v>1638</v>
      </c>
      <c r="I131" s="351" t="s">
        <v>1639</v>
      </c>
      <c r="J131" s="351" t="s">
        <v>3829</v>
      </c>
      <c r="K131" s="354">
        <v>144651</v>
      </c>
      <c r="L131" s="355">
        <v>150490</v>
      </c>
      <c r="M131" s="354">
        <v>156481</v>
      </c>
      <c r="N131" s="355">
        <v>150511</v>
      </c>
      <c r="O131" s="355">
        <v>156135</v>
      </c>
      <c r="P131" s="355">
        <v>171270</v>
      </c>
      <c r="Q131" s="355">
        <v>174866</v>
      </c>
      <c r="R131" s="355">
        <v>203858</v>
      </c>
      <c r="S131" s="355">
        <v>211977</v>
      </c>
      <c r="T131" s="355">
        <v>213314</v>
      </c>
      <c r="U131" s="59">
        <f aca="true" t="shared" si="19" ref="U131:U194">MIN(K131:T131)</f>
        <v>144651</v>
      </c>
      <c r="V131" s="59">
        <f aca="true" t="shared" si="20" ref="V131:V194">MAX(K131:T131)</f>
        <v>213314</v>
      </c>
      <c r="W131" s="59">
        <f aca="true" t="shared" si="21" ref="W131:W194">AVERAGE(K131:T131)</f>
        <v>173355.3</v>
      </c>
      <c r="X131" s="60">
        <f aca="true" t="shared" si="22" ref="X131:X194">_xlfn.IFERROR(T131/K131*100,"-")</f>
        <v>147.4680437743258</v>
      </c>
      <c r="AC131" s="53"/>
      <c r="AL131" s="65">
        <f>_xlfn.IFERROR(INDEX('Tabela PW'!$T:$T,'Słownik PW'!C131,1),"")</f>
        <v>213314</v>
      </c>
    </row>
    <row r="132" spans="1:38" ht="15">
      <c r="A132" s="4" t="s">
        <v>137</v>
      </c>
      <c r="B132" s="5" t="s">
        <v>674</v>
      </c>
      <c r="C132" s="49" t="s">
        <v>138</v>
      </c>
      <c r="D132" s="349">
        <f t="shared" si="18"/>
        <v>62</v>
      </c>
      <c r="E132" s="350" t="s">
        <v>837</v>
      </c>
      <c r="F132" s="51" t="s">
        <v>139</v>
      </c>
      <c r="G132" s="351" t="s">
        <v>674</v>
      </c>
      <c r="H132" s="351" t="s">
        <v>1640</v>
      </c>
      <c r="I132" s="351" t="s">
        <v>1641</v>
      </c>
      <c r="J132" s="351" t="s">
        <v>3830</v>
      </c>
      <c r="K132" s="354">
        <v>1431186</v>
      </c>
      <c r="L132" s="355">
        <v>1105943</v>
      </c>
      <c r="M132" s="354">
        <v>287875</v>
      </c>
      <c r="N132" s="355">
        <v>270416</v>
      </c>
      <c r="O132" s="355">
        <v>180846</v>
      </c>
      <c r="P132" s="355">
        <v>248857</v>
      </c>
      <c r="Q132" s="355">
        <v>993723</v>
      </c>
      <c r="R132" s="355">
        <v>114454</v>
      </c>
      <c r="S132" s="355" t="s">
        <v>4569</v>
      </c>
      <c r="T132" s="355" t="s">
        <v>4569</v>
      </c>
      <c r="U132" s="59">
        <f t="shared" si="19"/>
        <v>114454</v>
      </c>
      <c r="V132" s="59">
        <f t="shared" si="20"/>
        <v>1431186</v>
      </c>
      <c r="W132" s="59">
        <f t="shared" si="21"/>
        <v>579162.5</v>
      </c>
      <c r="X132" s="60" t="str">
        <f t="shared" si="22"/>
        <v>-</v>
      </c>
      <c r="AC132" s="53"/>
      <c r="AL132" s="65" t="str">
        <f>_xlfn.IFERROR(INDEX('Tabela PW'!$T:$T,'Słownik PW'!C132,1),"")</f>
        <v>—</v>
      </c>
    </row>
    <row r="133" spans="1:38" ht="15">
      <c r="A133" s="4" t="s">
        <v>137</v>
      </c>
      <c r="B133" s="5" t="s">
        <v>674</v>
      </c>
      <c r="C133" s="49" t="s">
        <v>140</v>
      </c>
      <c r="D133" s="349">
        <f t="shared" si="18"/>
        <v>25</v>
      </c>
      <c r="E133" s="350" t="s">
        <v>838</v>
      </c>
      <c r="F133" s="51" t="s">
        <v>139</v>
      </c>
      <c r="G133" s="351" t="s">
        <v>674</v>
      </c>
      <c r="H133" s="351" t="s">
        <v>1642</v>
      </c>
      <c r="I133" s="351" t="s">
        <v>1643</v>
      </c>
      <c r="J133" s="351" t="s">
        <v>3831</v>
      </c>
      <c r="K133" s="354">
        <v>7172</v>
      </c>
      <c r="L133" s="355">
        <v>6227</v>
      </c>
      <c r="M133" s="354">
        <v>7008</v>
      </c>
      <c r="N133" s="355">
        <v>6264</v>
      </c>
      <c r="O133" s="355">
        <v>5417</v>
      </c>
      <c r="P133" s="355">
        <v>6292</v>
      </c>
      <c r="Q133" s="355">
        <v>5686</v>
      </c>
      <c r="R133" s="355">
        <v>6283</v>
      </c>
      <c r="S133" s="355">
        <v>4779</v>
      </c>
      <c r="T133" s="355">
        <v>5682</v>
      </c>
      <c r="U133" s="59">
        <f t="shared" si="19"/>
        <v>4779</v>
      </c>
      <c r="V133" s="59">
        <f t="shared" si="20"/>
        <v>7172</v>
      </c>
      <c r="W133" s="59">
        <f t="shared" si="21"/>
        <v>6081</v>
      </c>
      <c r="X133" s="60">
        <f t="shared" si="22"/>
        <v>79.22476296709425</v>
      </c>
      <c r="AC133" s="53"/>
      <c r="AL133" s="65">
        <f>_xlfn.IFERROR(INDEX('Tabela PW'!$T:$T,'Słownik PW'!C133,1),"")</f>
        <v>5682</v>
      </c>
    </row>
    <row r="134" spans="1:38" ht="15">
      <c r="A134" s="4" t="s">
        <v>137</v>
      </c>
      <c r="B134" s="5" t="s">
        <v>674</v>
      </c>
      <c r="C134" s="49" t="s">
        <v>141</v>
      </c>
      <c r="D134" s="349">
        <f t="shared" si="18"/>
        <v>52</v>
      </c>
      <c r="E134" s="350" t="s">
        <v>839</v>
      </c>
      <c r="F134" s="51" t="s">
        <v>139</v>
      </c>
      <c r="G134" s="351" t="s">
        <v>674</v>
      </c>
      <c r="H134" s="351" t="s">
        <v>1644</v>
      </c>
      <c r="I134" s="351" t="s">
        <v>1645</v>
      </c>
      <c r="J134" s="351" t="s">
        <v>3832</v>
      </c>
      <c r="K134" s="354">
        <v>4382420</v>
      </c>
      <c r="L134" s="355">
        <v>3835190</v>
      </c>
      <c r="M134" s="354">
        <v>3213510</v>
      </c>
      <c r="N134" s="355">
        <v>3604574</v>
      </c>
      <c r="O134" s="355">
        <v>4205438</v>
      </c>
      <c r="P134" s="355">
        <v>5616410</v>
      </c>
      <c r="Q134" s="355">
        <v>6657581</v>
      </c>
      <c r="R134" s="355">
        <v>4808321</v>
      </c>
      <c r="S134" s="355">
        <v>4713900</v>
      </c>
      <c r="T134" s="355">
        <v>4727421</v>
      </c>
      <c r="U134" s="59">
        <f t="shared" si="19"/>
        <v>3213510</v>
      </c>
      <c r="V134" s="59">
        <f t="shared" si="20"/>
        <v>6657581</v>
      </c>
      <c r="W134" s="59">
        <f t="shared" si="21"/>
        <v>4576476.5</v>
      </c>
      <c r="X134" s="60">
        <f t="shared" si="22"/>
        <v>107.87238557691869</v>
      </c>
      <c r="AC134" s="53"/>
      <c r="AL134" s="65">
        <f>_xlfn.IFERROR(INDEX('Tabela PW'!$T:$T,'Słownik PW'!C134,1),"")</f>
        <v>4727421</v>
      </c>
    </row>
    <row r="135" spans="1:38" ht="15">
      <c r="A135" s="4" t="s">
        <v>137</v>
      </c>
      <c r="B135" s="5" t="s">
        <v>674</v>
      </c>
      <c r="C135" s="49" t="s">
        <v>142</v>
      </c>
      <c r="D135" s="349">
        <f t="shared" si="18"/>
        <v>81</v>
      </c>
      <c r="E135" s="350" t="s">
        <v>840</v>
      </c>
      <c r="F135" s="51" t="s">
        <v>25</v>
      </c>
      <c r="G135" s="351" t="s">
        <v>683</v>
      </c>
      <c r="H135" s="351" t="s">
        <v>1646</v>
      </c>
      <c r="I135" s="351" t="s">
        <v>1647</v>
      </c>
      <c r="J135" s="351" t="s">
        <v>3833</v>
      </c>
      <c r="K135" s="354">
        <v>2576</v>
      </c>
      <c r="L135" s="355">
        <v>2160</v>
      </c>
      <c r="M135" s="354">
        <v>1861</v>
      </c>
      <c r="N135" s="355">
        <v>1639</v>
      </c>
      <c r="O135" s="355">
        <v>1476</v>
      </c>
      <c r="P135" s="355">
        <v>1520</v>
      </c>
      <c r="Q135" s="355">
        <v>1216</v>
      </c>
      <c r="R135" s="355">
        <v>1092</v>
      </c>
      <c r="S135" s="355">
        <v>1190</v>
      </c>
      <c r="T135" s="355">
        <v>759</v>
      </c>
      <c r="U135" s="59">
        <f t="shared" si="19"/>
        <v>759</v>
      </c>
      <c r="V135" s="59">
        <f t="shared" si="20"/>
        <v>2576</v>
      </c>
      <c r="W135" s="59">
        <f t="shared" si="21"/>
        <v>1548.9</v>
      </c>
      <c r="X135" s="60">
        <f t="shared" si="22"/>
        <v>29.464285714285715</v>
      </c>
      <c r="AC135" s="53"/>
      <c r="AL135" s="65">
        <f>_xlfn.IFERROR(INDEX('Tabela PW'!$T:$T,'Słownik PW'!C135,1),"")</f>
        <v>759</v>
      </c>
    </row>
    <row r="136" spans="1:38" ht="15">
      <c r="A136" s="4" t="s">
        <v>137</v>
      </c>
      <c r="B136" s="5" t="s">
        <v>674</v>
      </c>
      <c r="C136" s="49" t="s">
        <v>4378</v>
      </c>
      <c r="D136" s="349">
        <f t="shared" si="18"/>
        <v>98</v>
      </c>
      <c r="E136" s="350" t="s">
        <v>841</v>
      </c>
      <c r="F136" s="51" t="s">
        <v>25</v>
      </c>
      <c r="G136" s="351" t="s">
        <v>683</v>
      </c>
      <c r="H136" s="351" t="s">
        <v>1648</v>
      </c>
      <c r="I136" s="351" t="s">
        <v>1649</v>
      </c>
      <c r="J136" s="351" t="s">
        <v>3834</v>
      </c>
      <c r="K136" s="354">
        <v>5113</v>
      </c>
      <c r="L136" s="355">
        <v>4870</v>
      </c>
      <c r="M136" s="354">
        <v>4945</v>
      </c>
      <c r="N136" s="355">
        <v>4446</v>
      </c>
      <c r="O136" s="355">
        <v>4483</v>
      </c>
      <c r="P136" s="355">
        <v>4767</v>
      </c>
      <c r="Q136" s="355">
        <v>4214</v>
      </c>
      <c r="R136" s="355">
        <v>4036</v>
      </c>
      <c r="S136" s="355">
        <v>3432</v>
      </c>
      <c r="T136" s="355">
        <v>1303</v>
      </c>
      <c r="U136" s="59">
        <f t="shared" si="19"/>
        <v>1303</v>
      </c>
      <c r="V136" s="59">
        <f t="shared" si="20"/>
        <v>5113</v>
      </c>
      <c r="W136" s="59">
        <f t="shared" si="21"/>
        <v>4160.9</v>
      </c>
      <c r="X136" s="60">
        <f t="shared" si="22"/>
        <v>25.48406023860747</v>
      </c>
      <c r="AC136" s="53"/>
      <c r="AL136" s="65">
        <f>_xlfn.IFERROR(INDEX('Tabela PW'!$T:$T,'Słownik PW'!C136,1),"")</f>
        <v>1303</v>
      </c>
    </row>
    <row r="137" spans="1:38" ht="15">
      <c r="A137" s="4" t="s">
        <v>137</v>
      </c>
      <c r="B137" s="5" t="s">
        <v>674</v>
      </c>
      <c r="C137" s="49" t="s">
        <v>143</v>
      </c>
      <c r="D137" s="349">
        <f t="shared" si="18"/>
        <v>104</v>
      </c>
      <c r="E137" s="350" t="s">
        <v>842</v>
      </c>
      <c r="F137" s="51" t="s">
        <v>139</v>
      </c>
      <c r="G137" s="351" t="s">
        <v>674</v>
      </c>
      <c r="H137" s="351" t="s">
        <v>1650</v>
      </c>
      <c r="I137" s="351" t="s">
        <v>1651</v>
      </c>
      <c r="J137" s="351" t="s">
        <v>3835</v>
      </c>
      <c r="K137" s="354">
        <v>1177583</v>
      </c>
      <c r="L137" s="355">
        <v>1102126</v>
      </c>
      <c r="M137" s="354">
        <v>1188827</v>
      </c>
      <c r="N137" s="355">
        <v>1470388</v>
      </c>
      <c r="O137" s="355">
        <v>1900050</v>
      </c>
      <c r="P137" s="355">
        <v>1881690</v>
      </c>
      <c r="Q137" s="355">
        <v>2195970</v>
      </c>
      <c r="R137" s="355">
        <v>2807014</v>
      </c>
      <c r="S137" s="355">
        <v>3003149</v>
      </c>
      <c r="T137" s="355">
        <v>3131456</v>
      </c>
      <c r="U137" s="59">
        <f t="shared" si="19"/>
        <v>1102126</v>
      </c>
      <c r="V137" s="59">
        <f t="shared" si="20"/>
        <v>3131456</v>
      </c>
      <c r="W137" s="59">
        <f t="shared" si="21"/>
        <v>1985825.3</v>
      </c>
      <c r="X137" s="60">
        <f t="shared" si="22"/>
        <v>265.92231715301597</v>
      </c>
      <c r="AC137" s="53"/>
      <c r="AL137" s="65">
        <f>_xlfn.IFERROR(INDEX('Tabela PW'!$T:$T,'Słownik PW'!C137,1),"")</f>
        <v>3131456</v>
      </c>
    </row>
    <row r="138" spans="1:38" ht="15">
      <c r="A138" s="4" t="s">
        <v>137</v>
      </c>
      <c r="B138" s="5" t="s">
        <v>674</v>
      </c>
      <c r="C138" s="49" t="s">
        <v>144</v>
      </c>
      <c r="D138" s="349">
        <f t="shared" si="18"/>
        <v>36</v>
      </c>
      <c r="E138" s="350" t="s">
        <v>843</v>
      </c>
      <c r="F138" s="51" t="s">
        <v>139</v>
      </c>
      <c r="G138" s="351" t="s">
        <v>674</v>
      </c>
      <c r="H138" s="351" t="s">
        <v>1652</v>
      </c>
      <c r="I138" s="351" t="s">
        <v>1653</v>
      </c>
      <c r="J138" s="351" t="s">
        <v>3836</v>
      </c>
      <c r="K138" s="354">
        <v>875933</v>
      </c>
      <c r="L138" s="355">
        <v>888108</v>
      </c>
      <c r="M138" s="354">
        <v>937084</v>
      </c>
      <c r="N138" s="355">
        <v>1019958</v>
      </c>
      <c r="O138" s="355">
        <v>668694</v>
      </c>
      <c r="P138" s="355">
        <v>713248</v>
      </c>
      <c r="Q138" s="355">
        <v>785370</v>
      </c>
      <c r="R138" s="355">
        <v>850455</v>
      </c>
      <c r="S138" s="355">
        <v>848945</v>
      </c>
      <c r="T138" s="355">
        <v>801637</v>
      </c>
      <c r="U138" s="59">
        <f t="shared" si="19"/>
        <v>668694</v>
      </c>
      <c r="V138" s="59">
        <f t="shared" si="20"/>
        <v>1019958</v>
      </c>
      <c r="W138" s="59">
        <f t="shared" si="21"/>
        <v>838943.2</v>
      </c>
      <c r="X138" s="60">
        <f t="shared" si="22"/>
        <v>91.51807272930692</v>
      </c>
      <c r="AC138" s="53"/>
      <c r="AL138" s="65">
        <f>_xlfn.IFERROR(INDEX('Tabela PW'!$T:$T,'Słownik PW'!C138,1),"")</f>
        <v>801637</v>
      </c>
    </row>
    <row r="139" spans="1:38" ht="15">
      <c r="A139" s="4" t="s">
        <v>137</v>
      </c>
      <c r="B139" s="5" t="s">
        <v>674</v>
      </c>
      <c r="C139" s="49" t="s">
        <v>145</v>
      </c>
      <c r="D139" s="349">
        <f t="shared" si="18"/>
        <v>71</v>
      </c>
      <c r="E139" s="350" t="s">
        <v>844</v>
      </c>
      <c r="F139" s="51" t="s">
        <v>146</v>
      </c>
      <c r="G139" s="351" t="s">
        <v>703</v>
      </c>
      <c r="H139" s="351" t="s">
        <v>1654</v>
      </c>
      <c r="I139" s="351" t="s">
        <v>1655</v>
      </c>
      <c r="J139" s="351" t="s">
        <v>3837</v>
      </c>
      <c r="K139" s="354">
        <v>3993</v>
      </c>
      <c r="L139" s="355">
        <v>4371</v>
      </c>
      <c r="M139" s="354">
        <v>2369</v>
      </c>
      <c r="N139" s="355">
        <v>732</v>
      </c>
      <c r="O139" s="355">
        <v>870</v>
      </c>
      <c r="P139" s="355">
        <v>880</v>
      </c>
      <c r="Q139" s="355">
        <v>790</v>
      </c>
      <c r="R139" s="355">
        <v>493</v>
      </c>
      <c r="S139" s="355">
        <v>412</v>
      </c>
      <c r="T139" s="355">
        <v>222</v>
      </c>
      <c r="U139" s="59">
        <f t="shared" si="19"/>
        <v>222</v>
      </c>
      <c r="V139" s="59">
        <f t="shared" si="20"/>
        <v>4371</v>
      </c>
      <c r="W139" s="59">
        <f t="shared" si="21"/>
        <v>1513.2</v>
      </c>
      <c r="X139" s="60">
        <f t="shared" si="22"/>
        <v>5.559729526671676</v>
      </c>
      <c r="AC139" s="53"/>
      <c r="AL139" s="65">
        <f>_xlfn.IFERROR(INDEX('Tabela PW'!$T:$T,'Słownik PW'!C139,1),"")</f>
        <v>222</v>
      </c>
    </row>
    <row r="140" spans="1:38" ht="15">
      <c r="A140" s="4" t="s">
        <v>137</v>
      </c>
      <c r="B140" s="5" t="s">
        <v>674</v>
      </c>
      <c r="C140" s="49" t="s">
        <v>147</v>
      </c>
      <c r="D140" s="349">
        <f t="shared" si="18"/>
        <v>27</v>
      </c>
      <c r="E140" s="350" t="s">
        <v>845</v>
      </c>
      <c r="F140" s="51" t="s">
        <v>146</v>
      </c>
      <c r="G140" s="351" t="s">
        <v>703</v>
      </c>
      <c r="H140" s="351" t="s">
        <v>1656</v>
      </c>
      <c r="I140" s="351" t="s">
        <v>1657</v>
      </c>
      <c r="J140" s="351" t="s">
        <v>3838</v>
      </c>
      <c r="K140" s="354">
        <v>177</v>
      </c>
      <c r="L140" s="355">
        <v>263</v>
      </c>
      <c r="M140" s="354">
        <v>190</v>
      </c>
      <c r="N140" s="355">
        <v>78</v>
      </c>
      <c r="O140" s="355">
        <v>122</v>
      </c>
      <c r="P140" s="355">
        <v>142</v>
      </c>
      <c r="Q140" s="355">
        <v>146</v>
      </c>
      <c r="R140" s="355" t="s">
        <v>4569</v>
      </c>
      <c r="S140" s="355" t="s">
        <v>4569</v>
      </c>
      <c r="T140" s="355" t="s">
        <v>4569</v>
      </c>
      <c r="U140" s="59">
        <f t="shared" si="19"/>
        <v>78</v>
      </c>
      <c r="V140" s="59">
        <f t="shared" si="20"/>
        <v>263</v>
      </c>
      <c r="W140" s="59">
        <f t="shared" si="21"/>
        <v>159.71428571428572</v>
      </c>
      <c r="X140" s="60" t="str">
        <f t="shared" si="22"/>
        <v>-</v>
      </c>
      <c r="AC140" s="53"/>
      <c r="AL140" s="65" t="str">
        <f>_xlfn.IFERROR(INDEX('Tabela PW'!$T:$T,'Słownik PW'!C140,1),"")</f>
        <v>—</v>
      </c>
    </row>
    <row r="141" spans="1:38" ht="15">
      <c r="A141" s="4" t="s">
        <v>137</v>
      </c>
      <c r="B141" s="5" t="s">
        <v>674</v>
      </c>
      <c r="C141" s="49" t="s">
        <v>148</v>
      </c>
      <c r="D141" s="349">
        <f t="shared" si="18"/>
        <v>52</v>
      </c>
      <c r="E141" s="350" t="s">
        <v>846</v>
      </c>
      <c r="F141" s="51" t="s">
        <v>146</v>
      </c>
      <c r="G141" s="351" t="s">
        <v>703</v>
      </c>
      <c r="H141" s="351" t="s">
        <v>1658</v>
      </c>
      <c r="I141" s="351" t="s">
        <v>1659</v>
      </c>
      <c r="J141" s="351" t="s">
        <v>3839</v>
      </c>
      <c r="K141" s="354">
        <v>323</v>
      </c>
      <c r="L141" s="355">
        <v>254</v>
      </c>
      <c r="M141" s="354">
        <v>454</v>
      </c>
      <c r="N141" s="355">
        <v>482</v>
      </c>
      <c r="O141" s="355">
        <v>1109</v>
      </c>
      <c r="P141" s="355">
        <v>696</v>
      </c>
      <c r="Q141" s="355">
        <v>1329</v>
      </c>
      <c r="R141" s="355">
        <v>1639</v>
      </c>
      <c r="S141" s="355">
        <v>1787</v>
      </c>
      <c r="T141" s="355">
        <v>2513</v>
      </c>
      <c r="U141" s="59">
        <f t="shared" si="19"/>
        <v>254</v>
      </c>
      <c r="V141" s="59">
        <f t="shared" si="20"/>
        <v>2513</v>
      </c>
      <c r="W141" s="59">
        <f t="shared" si="21"/>
        <v>1058.6</v>
      </c>
      <c r="X141" s="60">
        <f t="shared" si="22"/>
        <v>778.0185758513932</v>
      </c>
      <c r="AC141" s="53"/>
      <c r="AL141" s="65">
        <f>_xlfn.IFERROR(INDEX('Tabela PW'!$T:$T,'Słownik PW'!C141,1),"")</f>
        <v>2513</v>
      </c>
    </row>
    <row r="142" spans="1:38" ht="15">
      <c r="A142" s="4" t="s">
        <v>137</v>
      </c>
      <c r="B142" s="5" t="s">
        <v>674</v>
      </c>
      <c r="C142" s="49" t="s">
        <v>149</v>
      </c>
      <c r="D142" s="349">
        <f t="shared" si="18"/>
        <v>50</v>
      </c>
      <c r="E142" s="350" t="s">
        <v>847</v>
      </c>
      <c r="F142" s="51" t="s">
        <v>146</v>
      </c>
      <c r="G142" s="351" t="s">
        <v>703</v>
      </c>
      <c r="H142" s="351" t="s">
        <v>1660</v>
      </c>
      <c r="I142" s="351" t="s">
        <v>1661</v>
      </c>
      <c r="J142" s="351" t="s">
        <v>3840</v>
      </c>
      <c r="K142" s="354">
        <v>286</v>
      </c>
      <c r="L142" s="355">
        <v>352</v>
      </c>
      <c r="M142" s="354">
        <v>141</v>
      </c>
      <c r="N142" s="355">
        <v>191</v>
      </c>
      <c r="O142" s="355">
        <v>204</v>
      </c>
      <c r="P142" s="355">
        <v>246</v>
      </c>
      <c r="Q142" s="355">
        <v>216</v>
      </c>
      <c r="R142" s="355">
        <v>262</v>
      </c>
      <c r="S142" s="355">
        <v>134</v>
      </c>
      <c r="T142" s="355">
        <v>141</v>
      </c>
      <c r="U142" s="59">
        <f t="shared" si="19"/>
        <v>134</v>
      </c>
      <c r="V142" s="59">
        <f t="shared" si="20"/>
        <v>352</v>
      </c>
      <c r="W142" s="59">
        <f t="shared" si="21"/>
        <v>217.3</v>
      </c>
      <c r="X142" s="60">
        <f t="shared" si="22"/>
        <v>49.3006993006993</v>
      </c>
      <c r="AC142" s="53"/>
      <c r="AL142" s="65">
        <f>_xlfn.IFERROR(INDEX('Tabela PW'!$T:$T,'Słownik PW'!C142,1),"")</f>
        <v>141</v>
      </c>
    </row>
    <row r="143" spans="1:38" ht="15">
      <c r="A143" s="4" t="s">
        <v>137</v>
      </c>
      <c r="B143" s="5" t="s">
        <v>674</v>
      </c>
      <c r="C143" s="49" t="s">
        <v>150</v>
      </c>
      <c r="D143" s="349">
        <f t="shared" si="18"/>
        <v>70</v>
      </c>
      <c r="E143" s="350" t="s">
        <v>848</v>
      </c>
      <c r="F143" s="51" t="s">
        <v>146</v>
      </c>
      <c r="G143" s="351" t="s">
        <v>703</v>
      </c>
      <c r="H143" s="351" t="s">
        <v>1662</v>
      </c>
      <c r="I143" s="351" t="s">
        <v>1663</v>
      </c>
      <c r="J143" s="351" t="s">
        <v>3841</v>
      </c>
      <c r="K143" s="354">
        <v>60984</v>
      </c>
      <c r="L143" s="355">
        <v>38586</v>
      </c>
      <c r="M143" s="354">
        <v>25253</v>
      </c>
      <c r="N143" s="355">
        <v>25628</v>
      </c>
      <c r="O143" s="355">
        <v>23396</v>
      </c>
      <c r="P143" s="355">
        <v>21505</v>
      </c>
      <c r="Q143" s="355">
        <v>27790</v>
      </c>
      <c r="R143" s="355">
        <v>19730</v>
      </c>
      <c r="S143" s="355">
        <v>18731</v>
      </c>
      <c r="T143" s="355">
        <v>19086</v>
      </c>
      <c r="U143" s="59">
        <f t="shared" si="19"/>
        <v>18731</v>
      </c>
      <c r="V143" s="59">
        <f t="shared" si="20"/>
        <v>60984</v>
      </c>
      <c r="W143" s="59">
        <f t="shared" si="21"/>
        <v>28068.9</v>
      </c>
      <c r="X143" s="60">
        <f t="shared" si="22"/>
        <v>31.296733569460844</v>
      </c>
      <c r="AC143" s="53"/>
      <c r="AL143" s="65">
        <f>_xlfn.IFERROR(INDEX('Tabela PW'!$T:$T,'Słownik PW'!C143,1),"")</f>
        <v>19086</v>
      </c>
    </row>
    <row r="144" spans="1:38" ht="15">
      <c r="A144" s="4" t="s">
        <v>137</v>
      </c>
      <c r="B144" s="5" t="s">
        <v>674</v>
      </c>
      <c r="C144" s="49" t="s">
        <v>151</v>
      </c>
      <c r="D144" s="349">
        <f t="shared" si="18"/>
        <v>63</v>
      </c>
      <c r="E144" s="350" t="s">
        <v>849</v>
      </c>
      <c r="F144" s="51" t="s">
        <v>146</v>
      </c>
      <c r="G144" s="351" t="s">
        <v>703</v>
      </c>
      <c r="H144" s="351" t="s">
        <v>1664</v>
      </c>
      <c r="I144" s="351" t="s">
        <v>1665</v>
      </c>
      <c r="J144" s="351" t="s">
        <v>3842</v>
      </c>
      <c r="K144" s="354">
        <v>132642</v>
      </c>
      <c r="L144" s="355">
        <v>130948</v>
      </c>
      <c r="M144" s="354">
        <v>129967</v>
      </c>
      <c r="N144" s="355">
        <v>124857</v>
      </c>
      <c r="O144" s="355">
        <v>133162</v>
      </c>
      <c r="P144" s="355">
        <v>121461</v>
      </c>
      <c r="Q144" s="355">
        <v>118328</v>
      </c>
      <c r="R144" s="355">
        <v>106833</v>
      </c>
      <c r="S144" s="355">
        <v>103737</v>
      </c>
      <c r="T144" s="355">
        <v>88447</v>
      </c>
      <c r="U144" s="59">
        <f t="shared" si="19"/>
        <v>88447</v>
      </c>
      <c r="V144" s="59">
        <f t="shared" si="20"/>
        <v>133162</v>
      </c>
      <c r="W144" s="59">
        <f t="shared" si="21"/>
        <v>119038.2</v>
      </c>
      <c r="X144" s="60">
        <f t="shared" si="22"/>
        <v>66.6809909380136</v>
      </c>
      <c r="AC144" s="53"/>
      <c r="AL144" s="65">
        <f>_xlfn.IFERROR(INDEX('Tabela PW'!$T:$T,'Słownik PW'!C144,1),"")</f>
        <v>88447</v>
      </c>
    </row>
    <row r="145" spans="1:38" ht="15">
      <c r="A145" s="4" t="s">
        <v>137</v>
      </c>
      <c r="B145" s="5" t="s">
        <v>674</v>
      </c>
      <c r="C145" s="49" t="s">
        <v>152</v>
      </c>
      <c r="D145" s="349">
        <f t="shared" si="18"/>
        <v>71</v>
      </c>
      <c r="E145" s="350" t="s">
        <v>850</v>
      </c>
      <c r="F145" s="51" t="s">
        <v>146</v>
      </c>
      <c r="G145" s="351" t="s">
        <v>703</v>
      </c>
      <c r="H145" s="351" t="s">
        <v>1666</v>
      </c>
      <c r="I145" s="351" t="s">
        <v>1667</v>
      </c>
      <c r="J145" s="351" t="s">
        <v>3843</v>
      </c>
      <c r="K145" s="354">
        <v>24422</v>
      </c>
      <c r="L145" s="355">
        <v>15732</v>
      </c>
      <c r="M145" s="354">
        <v>13332</v>
      </c>
      <c r="N145" s="355">
        <v>12705</v>
      </c>
      <c r="O145" s="355">
        <v>20342</v>
      </c>
      <c r="P145" s="355">
        <v>16152</v>
      </c>
      <c r="Q145" s="355">
        <v>22086</v>
      </c>
      <c r="R145" s="355">
        <v>18679</v>
      </c>
      <c r="S145" s="355">
        <v>22998</v>
      </c>
      <c r="T145" s="355">
        <v>21561</v>
      </c>
      <c r="U145" s="59">
        <f t="shared" si="19"/>
        <v>12705</v>
      </c>
      <c r="V145" s="59">
        <f t="shared" si="20"/>
        <v>24422</v>
      </c>
      <c r="W145" s="59">
        <f t="shared" si="21"/>
        <v>18800.9</v>
      </c>
      <c r="X145" s="60">
        <f t="shared" si="22"/>
        <v>88.28515273114405</v>
      </c>
      <c r="AC145" s="53"/>
      <c r="AL145" s="65">
        <f>_xlfn.IFERROR(INDEX('Tabela PW'!$T:$T,'Słownik PW'!C145,1),"")</f>
        <v>21561</v>
      </c>
    </row>
    <row r="146" spans="1:38" ht="15">
      <c r="A146" s="4" t="s">
        <v>137</v>
      </c>
      <c r="B146" s="5" t="s">
        <v>674</v>
      </c>
      <c r="C146" s="49" t="s">
        <v>153</v>
      </c>
      <c r="D146" s="349">
        <f t="shared" si="18"/>
        <v>47</v>
      </c>
      <c r="E146" s="350" t="s">
        <v>851</v>
      </c>
      <c r="F146" s="51" t="s">
        <v>154</v>
      </c>
      <c r="G146" s="351" t="s">
        <v>682</v>
      </c>
      <c r="H146" s="351" t="s">
        <v>1668</v>
      </c>
      <c r="I146" s="351" t="s">
        <v>1669</v>
      </c>
      <c r="J146" s="351" t="s">
        <v>3844</v>
      </c>
      <c r="K146" s="354">
        <v>1197787</v>
      </c>
      <c r="L146" s="355">
        <v>1359437</v>
      </c>
      <c r="M146" s="354">
        <v>1264272</v>
      </c>
      <c r="N146" s="355">
        <v>1040321</v>
      </c>
      <c r="O146" s="355">
        <v>906921</v>
      </c>
      <c r="P146" s="355">
        <v>1032244</v>
      </c>
      <c r="Q146" s="355">
        <v>732337</v>
      </c>
      <c r="R146" s="355">
        <v>980911</v>
      </c>
      <c r="S146" s="355">
        <v>896630</v>
      </c>
      <c r="T146" s="355">
        <v>719780</v>
      </c>
      <c r="U146" s="59">
        <f t="shared" si="19"/>
        <v>719780</v>
      </c>
      <c r="V146" s="59">
        <f t="shared" si="20"/>
        <v>1359437</v>
      </c>
      <c r="W146" s="59">
        <f t="shared" si="21"/>
        <v>1013064</v>
      </c>
      <c r="X146" s="60">
        <f t="shared" si="22"/>
        <v>60.09248722853061</v>
      </c>
      <c r="AC146" s="53"/>
      <c r="AL146" s="65">
        <f>_xlfn.IFERROR(INDEX('Tabela PW'!$T:$T,'Słownik PW'!C146,1),"")</f>
        <v>719780</v>
      </c>
    </row>
    <row r="147" spans="1:38" ht="15">
      <c r="A147" s="4" t="s">
        <v>137</v>
      </c>
      <c r="B147" s="5" t="s">
        <v>674</v>
      </c>
      <c r="C147" s="49" t="s">
        <v>155</v>
      </c>
      <c r="D147" s="349">
        <f t="shared" si="18"/>
        <v>19</v>
      </c>
      <c r="E147" s="350" t="s">
        <v>852</v>
      </c>
      <c r="F147" s="51" t="s">
        <v>156</v>
      </c>
      <c r="G147" s="351" t="s">
        <v>705</v>
      </c>
      <c r="H147" s="351" t="s">
        <v>1670</v>
      </c>
      <c r="I147" s="351" t="s">
        <v>1671</v>
      </c>
      <c r="J147" s="351" t="s">
        <v>3845</v>
      </c>
      <c r="K147" s="354">
        <v>24777</v>
      </c>
      <c r="L147" s="355">
        <v>25278</v>
      </c>
      <c r="M147" s="354">
        <v>21388</v>
      </c>
      <c r="N147" s="355">
        <v>21367</v>
      </c>
      <c r="O147" s="355">
        <v>23912</v>
      </c>
      <c r="P147" s="355">
        <v>25914</v>
      </c>
      <c r="Q147" s="355">
        <v>28452</v>
      </c>
      <c r="R147" s="355">
        <v>28703</v>
      </c>
      <c r="S147" s="355">
        <v>26815</v>
      </c>
      <c r="T147" s="355">
        <v>22616</v>
      </c>
      <c r="U147" s="59">
        <f t="shared" si="19"/>
        <v>21367</v>
      </c>
      <c r="V147" s="59">
        <f t="shared" si="20"/>
        <v>28703</v>
      </c>
      <c r="W147" s="59">
        <f t="shared" si="21"/>
        <v>24922.2</v>
      </c>
      <c r="X147" s="60">
        <f t="shared" si="22"/>
        <v>91.27820155789644</v>
      </c>
      <c r="AC147" s="53"/>
      <c r="AL147" s="65">
        <f>_xlfn.IFERROR(INDEX('Tabela PW'!$T:$T,'Słownik PW'!C147,1),"")</f>
        <v>22616</v>
      </c>
    </row>
    <row r="148" spans="1:38" ht="15">
      <c r="A148" s="4" t="s">
        <v>137</v>
      </c>
      <c r="B148" s="5" t="s">
        <v>674</v>
      </c>
      <c r="C148" s="49" t="s">
        <v>157</v>
      </c>
      <c r="D148" s="349">
        <f t="shared" si="18"/>
        <v>16</v>
      </c>
      <c r="E148" s="350" t="s">
        <v>853</v>
      </c>
      <c r="F148" s="51" t="s">
        <v>156</v>
      </c>
      <c r="G148" s="351" t="s">
        <v>705</v>
      </c>
      <c r="H148" s="351" t="s">
        <v>1672</v>
      </c>
      <c r="I148" s="351" t="s">
        <v>1673</v>
      </c>
      <c r="J148" s="351" t="s">
        <v>3846</v>
      </c>
      <c r="K148" s="354">
        <v>6020</v>
      </c>
      <c r="L148" s="355">
        <v>4690</v>
      </c>
      <c r="M148" s="354">
        <v>3926</v>
      </c>
      <c r="N148" s="355">
        <v>4092</v>
      </c>
      <c r="O148" s="355">
        <v>4401</v>
      </c>
      <c r="P148" s="355">
        <v>3072</v>
      </c>
      <c r="Q148" s="355">
        <v>3476</v>
      </c>
      <c r="R148" s="355">
        <v>2615</v>
      </c>
      <c r="S148" s="355">
        <v>2681</v>
      </c>
      <c r="T148" s="355">
        <v>2510</v>
      </c>
      <c r="U148" s="59">
        <f t="shared" si="19"/>
        <v>2510</v>
      </c>
      <c r="V148" s="59">
        <f t="shared" si="20"/>
        <v>6020</v>
      </c>
      <c r="W148" s="59">
        <f t="shared" si="21"/>
        <v>3748.3</v>
      </c>
      <c r="X148" s="60">
        <f t="shared" si="22"/>
        <v>41.69435215946844</v>
      </c>
      <c r="AC148" s="53"/>
      <c r="AL148" s="65">
        <f>_xlfn.IFERROR(INDEX('Tabela PW'!$T:$T,'Słownik PW'!C148,1),"")</f>
        <v>2510</v>
      </c>
    </row>
    <row r="149" spans="1:38" ht="15">
      <c r="A149" s="4" t="s">
        <v>137</v>
      </c>
      <c r="B149" s="5" t="s">
        <v>674</v>
      </c>
      <c r="C149" s="49" t="s">
        <v>158</v>
      </c>
      <c r="D149" s="349">
        <f t="shared" si="18"/>
        <v>37</v>
      </c>
      <c r="E149" s="350" t="s">
        <v>854</v>
      </c>
      <c r="F149" s="51" t="s">
        <v>156</v>
      </c>
      <c r="G149" s="351" t="s">
        <v>705</v>
      </c>
      <c r="H149" s="351" t="s">
        <v>1674</v>
      </c>
      <c r="I149" s="351" t="s">
        <v>1675</v>
      </c>
      <c r="J149" s="351" t="s">
        <v>3847</v>
      </c>
      <c r="K149" s="354">
        <v>7797</v>
      </c>
      <c r="L149" s="355">
        <v>33358</v>
      </c>
      <c r="M149" s="354">
        <v>55522</v>
      </c>
      <c r="N149" s="355">
        <v>82725</v>
      </c>
      <c r="O149" s="355">
        <v>88417</v>
      </c>
      <c r="P149" s="355">
        <v>90345</v>
      </c>
      <c r="Q149" s="355">
        <v>93352</v>
      </c>
      <c r="R149" s="355">
        <v>89914</v>
      </c>
      <c r="S149" s="355">
        <v>78384</v>
      </c>
      <c r="T149" s="355">
        <v>65536</v>
      </c>
      <c r="U149" s="59">
        <f t="shared" si="19"/>
        <v>7797</v>
      </c>
      <c r="V149" s="59">
        <f t="shared" si="20"/>
        <v>93352</v>
      </c>
      <c r="W149" s="59">
        <f t="shared" si="21"/>
        <v>68535</v>
      </c>
      <c r="X149" s="60">
        <f t="shared" si="22"/>
        <v>840.5284083621906</v>
      </c>
      <c r="AC149" s="53"/>
      <c r="AL149" s="65">
        <f>_xlfn.IFERROR(INDEX('Tabela PW'!$T:$T,'Słownik PW'!C149,1),"")</f>
        <v>65536</v>
      </c>
    </row>
    <row r="150" spans="1:38" ht="15">
      <c r="A150" s="4" t="s">
        <v>137</v>
      </c>
      <c r="B150" s="5" t="s">
        <v>674</v>
      </c>
      <c r="C150" s="49" t="s">
        <v>159</v>
      </c>
      <c r="D150" s="349">
        <f t="shared" si="18"/>
        <v>56</v>
      </c>
      <c r="E150" s="350" t="s">
        <v>855</v>
      </c>
      <c r="F150" s="51" t="s">
        <v>139</v>
      </c>
      <c r="G150" s="351" t="s">
        <v>674</v>
      </c>
      <c r="H150" s="351" t="s">
        <v>1676</v>
      </c>
      <c r="I150" s="351" t="s">
        <v>1677</v>
      </c>
      <c r="J150" s="351" t="s">
        <v>3848</v>
      </c>
      <c r="K150" s="354">
        <v>5461102</v>
      </c>
      <c r="L150" s="355">
        <v>5943126</v>
      </c>
      <c r="M150" s="354">
        <v>5780290</v>
      </c>
      <c r="N150" s="355">
        <v>5619313</v>
      </c>
      <c r="O150" s="355">
        <v>6270702</v>
      </c>
      <c r="P150" s="355">
        <v>7736379</v>
      </c>
      <c r="Q150" s="355">
        <v>7455764</v>
      </c>
      <c r="R150" s="355">
        <v>8137001</v>
      </c>
      <c r="S150" s="355">
        <v>8111288</v>
      </c>
      <c r="T150" s="355">
        <v>8476816</v>
      </c>
      <c r="U150" s="59">
        <f t="shared" si="19"/>
        <v>5461102</v>
      </c>
      <c r="V150" s="59">
        <f t="shared" si="20"/>
        <v>8476816</v>
      </c>
      <c r="W150" s="59">
        <f t="shared" si="21"/>
        <v>6899178.1</v>
      </c>
      <c r="X150" s="60">
        <f t="shared" si="22"/>
        <v>155.2217116618587</v>
      </c>
      <c r="AC150" s="53"/>
      <c r="AL150" s="65">
        <f>_xlfn.IFERROR(INDEX('Tabela PW'!$T:$T,'Słownik PW'!C150,1),"")</f>
        <v>8476816</v>
      </c>
    </row>
    <row r="151" spans="1:38" ht="15">
      <c r="A151" s="4" t="s">
        <v>137</v>
      </c>
      <c r="B151" s="5" t="s">
        <v>674</v>
      </c>
      <c r="C151" s="49" t="s">
        <v>160</v>
      </c>
      <c r="D151" s="349">
        <f t="shared" si="18"/>
        <v>6</v>
      </c>
      <c r="E151" s="350" t="s">
        <v>856</v>
      </c>
      <c r="F151" s="51" t="s">
        <v>146</v>
      </c>
      <c r="G151" s="351" t="s">
        <v>703</v>
      </c>
      <c r="H151" s="351" t="s">
        <v>1678</v>
      </c>
      <c r="I151" s="351" t="s">
        <v>1679</v>
      </c>
      <c r="J151" s="351" t="s">
        <v>3849</v>
      </c>
      <c r="K151" s="354">
        <v>9211</v>
      </c>
      <c r="L151" s="355">
        <v>7050</v>
      </c>
      <c r="M151" s="354">
        <v>7575</v>
      </c>
      <c r="N151" s="355">
        <v>7930</v>
      </c>
      <c r="O151" s="355">
        <v>9944</v>
      </c>
      <c r="P151" s="355">
        <v>11352</v>
      </c>
      <c r="Q151" s="355">
        <v>11500</v>
      </c>
      <c r="R151" s="355">
        <v>11760</v>
      </c>
      <c r="S151" s="355">
        <v>11718</v>
      </c>
      <c r="T151" s="355">
        <v>12190</v>
      </c>
      <c r="U151" s="59">
        <f t="shared" si="19"/>
        <v>7050</v>
      </c>
      <c r="V151" s="59">
        <f t="shared" si="20"/>
        <v>12190</v>
      </c>
      <c r="W151" s="59">
        <f t="shared" si="21"/>
        <v>10023</v>
      </c>
      <c r="X151" s="60">
        <f t="shared" si="22"/>
        <v>132.34176528064273</v>
      </c>
      <c r="AC151" s="53"/>
      <c r="AL151" s="65">
        <f>_xlfn.IFERROR(INDEX('Tabela PW'!$T:$T,'Słownik PW'!C151,1),"")</f>
        <v>12190</v>
      </c>
    </row>
    <row r="152" spans="1:38" ht="15">
      <c r="A152" s="4" t="s">
        <v>137</v>
      </c>
      <c r="B152" s="5" t="s">
        <v>674</v>
      </c>
      <c r="C152" s="49" t="s">
        <v>161</v>
      </c>
      <c r="D152" s="349">
        <f t="shared" si="18"/>
        <v>8</v>
      </c>
      <c r="E152" s="350" t="s">
        <v>857</v>
      </c>
      <c r="F152" s="51" t="s">
        <v>146</v>
      </c>
      <c r="G152" s="351" t="s">
        <v>703</v>
      </c>
      <c r="H152" s="351" t="s">
        <v>1680</v>
      </c>
      <c r="I152" s="351" t="s">
        <v>1681</v>
      </c>
      <c r="J152" s="351" t="s">
        <v>3850</v>
      </c>
      <c r="K152" s="354">
        <v>1696</v>
      </c>
      <c r="L152" s="355">
        <v>2879</v>
      </c>
      <c r="M152" s="354">
        <v>2591</v>
      </c>
      <c r="N152" s="355">
        <v>3063</v>
      </c>
      <c r="O152" s="355">
        <v>3128</v>
      </c>
      <c r="P152" s="355">
        <v>3324</v>
      </c>
      <c r="Q152" s="355">
        <v>3193</v>
      </c>
      <c r="R152" s="355">
        <v>3021</v>
      </c>
      <c r="S152" s="355">
        <v>2587</v>
      </c>
      <c r="T152" s="355">
        <v>2775</v>
      </c>
      <c r="U152" s="59">
        <f t="shared" si="19"/>
        <v>1696</v>
      </c>
      <c r="V152" s="59">
        <f t="shared" si="20"/>
        <v>3324</v>
      </c>
      <c r="W152" s="59">
        <f t="shared" si="21"/>
        <v>2825.7</v>
      </c>
      <c r="X152" s="60">
        <f t="shared" si="22"/>
        <v>163.62028301886792</v>
      </c>
      <c r="AC152" s="53"/>
      <c r="AL152" s="65">
        <f>_xlfn.IFERROR(INDEX('Tabela PW'!$T:$T,'Słownik PW'!C152,1),"")</f>
        <v>2775</v>
      </c>
    </row>
    <row r="153" spans="1:38" ht="15">
      <c r="A153" s="4" t="s">
        <v>137</v>
      </c>
      <c r="B153" s="5" t="s">
        <v>674</v>
      </c>
      <c r="C153" s="49" t="s">
        <v>162</v>
      </c>
      <c r="D153" s="349">
        <f t="shared" si="18"/>
        <v>10</v>
      </c>
      <c r="E153" s="350" t="s">
        <v>858</v>
      </c>
      <c r="F153" s="51" t="s">
        <v>146</v>
      </c>
      <c r="G153" s="351" t="s">
        <v>703</v>
      </c>
      <c r="H153" s="351" t="s">
        <v>1682</v>
      </c>
      <c r="I153" s="351" t="s">
        <v>1683</v>
      </c>
      <c r="J153" s="351" t="s">
        <v>3851</v>
      </c>
      <c r="K153" s="354">
        <v>1049</v>
      </c>
      <c r="L153" s="355">
        <v>1156</v>
      </c>
      <c r="M153" s="354">
        <v>1163</v>
      </c>
      <c r="N153" s="355">
        <v>1255</v>
      </c>
      <c r="O153" s="355">
        <v>1251</v>
      </c>
      <c r="P153" s="355">
        <v>1465</v>
      </c>
      <c r="Q153" s="355">
        <v>1518</v>
      </c>
      <c r="R153" s="355">
        <v>1618</v>
      </c>
      <c r="S153" s="355">
        <v>1286</v>
      </c>
      <c r="T153" s="355">
        <v>1265</v>
      </c>
      <c r="U153" s="59">
        <f t="shared" si="19"/>
        <v>1049</v>
      </c>
      <c r="V153" s="59">
        <f t="shared" si="20"/>
        <v>1618</v>
      </c>
      <c r="W153" s="59">
        <f t="shared" si="21"/>
        <v>1302.6</v>
      </c>
      <c r="X153" s="60">
        <f t="shared" si="22"/>
        <v>120.5910390848427</v>
      </c>
      <c r="AC153" s="53"/>
      <c r="AL153" s="65">
        <f>_xlfn.IFERROR(INDEX('Tabela PW'!$T:$T,'Słownik PW'!C153,1),"")</f>
        <v>1265</v>
      </c>
    </row>
    <row r="154" spans="1:38" ht="15">
      <c r="A154" s="4" t="s">
        <v>163</v>
      </c>
      <c r="B154" s="5" t="s">
        <v>675</v>
      </c>
      <c r="C154" s="49" t="s">
        <v>164</v>
      </c>
      <c r="D154" s="349">
        <f t="shared" si="18"/>
        <v>42</v>
      </c>
      <c r="E154" s="350" t="s">
        <v>859</v>
      </c>
      <c r="F154" s="51" t="s">
        <v>154</v>
      </c>
      <c r="G154" s="351" t="s">
        <v>682</v>
      </c>
      <c r="H154" s="351" t="s">
        <v>1684</v>
      </c>
      <c r="I154" s="351" t="s">
        <v>1685</v>
      </c>
      <c r="J154" s="351" t="s">
        <v>3852</v>
      </c>
      <c r="K154" s="354">
        <v>1318754</v>
      </c>
      <c r="L154" s="355">
        <v>1106810</v>
      </c>
      <c r="M154" s="354">
        <v>1331680</v>
      </c>
      <c r="N154" s="355">
        <v>1294356</v>
      </c>
      <c r="O154" s="355">
        <v>765126</v>
      </c>
      <c r="P154" s="355">
        <v>540286</v>
      </c>
      <c r="Q154" s="355">
        <v>731145</v>
      </c>
      <c r="R154" s="355">
        <v>782086</v>
      </c>
      <c r="S154" s="355">
        <v>985275</v>
      </c>
      <c r="T154" s="355">
        <v>857641</v>
      </c>
      <c r="U154" s="59">
        <f t="shared" si="19"/>
        <v>540286</v>
      </c>
      <c r="V154" s="59">
        <f t="shared" si="20"/>
        <v>1331680</v>
      </c>
      <c r="W154" s="59">
        <f t="shared" si="21"/>
        <v>971315.9</v>
      </c>
      <c r="X154" s="60">
        <f t="shared" si="22"/>
        <v>65.03419136548591</v>
      </c>
      <c r="AC154" s="53"/>
      <c r="AL154" s="65">
        <f>_xlfn.IFERROR(INDEX('Tabela PW'!$T:$T,'Słownik PW'!C154,1),"")</f>
        <v>857641</v>
      </c>
    </row>
    <row r="155" spans="1:38" ht="15">
      <c r="A155" s="4" t="s">
        <v>163</v>
      </c>
      <c r="B155" s="5" t="s">
        <v>675</v>
      </c>
      <c r="C155" s="49" t="s">
        <v>165</v>
      </c>
      <c r="D155" s="349">
        <f t="shared" si="18"/>
        <v>54</v>
      </c>
      <c r="E155" s="350" t="s">
        <v>860</v>
      </c>
      <c r="F155" s="51" t="s">
        <v>154</v>
      </c>
      <c r="G155" s="351" t="s">
        <v>682</v>
      </c>
      <c r="H155" s="351" t="s">
        <v>1686</v>
      </c>
      <c r="I155" s="351" t="s">
        <v>1687</v>
      </c>
      <c r="J155" s="351" t="s">
        <v>3853</v>
      </c>
      <c r="K155" s="354">
        <v>512445</v>
      </c>
      <c r="L155" s="355">
        <v>487016</v>
      </c>
      <c r="M155" s="354">
        <v>592465</v>
      </c>
      <c r="N155" s="355">
        <v>679934</v>
      </c>
      <c r="O155" s="355">
        <v>596746</v>
      </c>
      <c r="P155" s="355">
        <v>548305</v>
      </c>
      <c r="Q155" s="355">
        <v>463459</v>
      </c>
      <c r="R155" s="355">
        <v>431373</v>
      </c>
      <c r="S155" s="355">
        <v>340065</v>
      </c>
      <c r="T155" s="355">
        <v>204285</v>
      </c>
      <c r="U155" s="59">
        <f t="shared" si="19"/>
        <v>204285</v>
      </c>
      <c r="V155" s="59">
        <f t="shared" si="20"/>
        <v>679934</v>
      </c>
      <c r="W155" s="59">
        <f t="shared" si="21"/>
        <v>485609.3</v>
      </c>
      <c r="X155" s="60">
        <f t="shared" si="22"/>
        <v>39.86476597488511</v>
      </c>
      <c r="AC155" s="53"/>
      <c r="AL155" s="65">
        <f>_xlfn.IFERROR(INDEX('Tabela PW'!$T:$T,'Słownik PW'!C155,1),"")</f>
        <v>204285</v>
      </c>
    </row>
    <row r="156" spans="1:38" ht="15">
      <c r="A156" s="4" t="s">
        <v>163</v>
      </c>
      <c r="B156" s="5" t="s">
        <v>675</v>
      </c>
      <c r="C156" s="49" t="s">
        <v>166</v>
      </c>
      <c r="D156" s="349">
        <f t="shared" si="18"/>
        <v>62</v>
      </c>
      <c r="E156" s="350" t="s">
        <v>861</v>
      </c>
      <c r="F156" s="51" t="s">
        <v>154</v>
      </c>
      <c r="G156" s="351" t="s">
        <v>682</v>
      </c>
      <c r="H156" s="351" t="s">
        <v>1688</v>
      </c>
      <c r="I156" s="351" t="s">
        <v>1689</v>
      </c>
      <c r="J156" s="351" t="s">
        <v>3854</v>
      </c>
      <c r="K156" s="354">
        <v>1736350</v>
      </c>
      <c r="L156" s="355">
        <v>1574628</v>
      </c>
      <c r="M156" s="354">
        <v>1437195</v>
      </c>
      <c r="N156" s="355">
        <v>1524998</v>
      </c>
      <c r="O156" s="355">
        <v>1393345</v>
      </c>
      <c r="P156" s="355">
        <v>1450067</v>
      </c>
      <c r="Q156" s="355">
        <v>1485983</v>
      </c>
      <c r="R156" s="355">
        <v>1498339</v>
      </c>
      <c r="S156" s="355">
        <v>1434756</v>
      </c>
      <c r="T156" s="355">
        <v>1085317</v>
      </c>
      <c r="U156" s="59">
        <f t="shared" si="19"/>
        <v>1085317</v>
      </c>
      <c r="V156" s="59">
        <f t="shared" si="20"/>
        <v>1736350</v>
      </c>
      <c r="W156" s="59">
        <f t="shared" si="21"/>
        <v>1462097.8</v>
      </c>
      <c r="X156" s="60">
        <f t="shared" si="22"/>
        <v>62.50565842140121</v>
      </c>
      <c r="AC156" s="53"/>
      <c r="AL156" s="65">
        <f>_xlfn.IFERROR(INDEX('Tabela PW'!$T:$T,'Słownik PW'!C156,1),"")</f>
        <v>1085317</v>
      </c>
    </row>
    <row r="157" spans="1:38" ht="15">
      <c r="A157" s="4" t="s">
        <v>163</v>
      </c>
      <c r="B157" s="5" t="s">
        <v>675</v>
      </c>
      <c r="C157" s="49" t="s">
        <v>167</v>
      </c>
      <c r="D157" s="349">
        <f t="shared" si="18"/>
        <v>78</v>
      </c>
      <c r="E157" s="350" t="s">
        <v>862</v>
      </c>
      <c r="F157" s="51" t="s">
        <v>154</v>
      </c>
      <c r="G157" s="351" t="s">
        <v>682</v>
      </c>
      <c r="H157" s="351" t="s">
        <v>1690</v>
      </c>
      <c r="I157" s="351" t="s">
        <v>1691</v>
      </c>
      <c r="J157" s="351" t="s">
        <v>3855</v>
      </c>
      <c r="K157" s="354">
        <v>838535</v>
      </c>
      <c r="L157" s="355">
        <v>774088</v>
      </c>
      <c r="M157" s="354">
        <v>888308</v>
      </c>
      <c r="N157" s="355">
        <v>822354</v>
      </c>
      <c r="O157" s="355">
        <v>945233</v>
      </c>
      <c r="P157" s="355">
        <v>936405</v>
      </c>
      <c r="Q157" s="355">
        <v>903869</v>
      </c>
      <c r="R157" s="355">
        <v>784720</v>
      </c>
      <c r="S157" s="355">
        <v>746476</v>
      </c>
      <c r="T157" s="355">
        <v>619007</v>
      </c>
      <c r="U157" s="59">
        <f t="shared" si="19"/>
        <v>619007</v>
      </c>
      <c r="V157" s="59">
        <f t="shared" si="20"/>
        <v>945233</v>
      </c>
      <c r="W157" s="59">
        <f t="shared" si="21"/>
        <v>825899.5</v>
      </c>
      <c r="X157" s="60">
        <f t="shared" si="22"/>
        <v>73.82005521534582</v>
      </c>
      <c r="AC157" s="53"/>
      <c r="AL157" s="65">
        <f>_xlfn.IFERROR(INDEX('Tabela PW'!$T:$T,'Słownik PW'!C157,1),"")</f>
        <v>619007</v>
      </c>
    </row>
    <row r="158" spans="1:38" ht="15">
      <c r="A158" s="4" t="s">
        <v>163</v>
      </c>
      <c r="B158" s="5" t="s">
        <v>675</v>
      </c>
      <c r="C158" s="49" t="s">
        <v>168</v>
      </c>
      <c r="D158" s="349">
        <f t="shared" si="18"/>
        <v>82</v>
      </c>
      <c r="E158" s="350" t="s">
        <v>863</v>
      </c>
      <c r="F158" s="51" t="s">
        <v>154</v>
      </c>
      <c r="G158" s="351" t="s">
        <v>682</v>
      </c>
      <c r="H158" s="351" t="s">
        <v>1692</v>
      </c>
      <c r="I158" s="351" t="s">
        <v>1693</v>
      </c>
      <c r="J158" s="351" t="s">
        <v>3856</v>
      </c>
      <c r="K158" s="354">
        <v>8650527</v>
      </c>
      <c r="L158" s="355">
        <v>6706327</v>
      </c>
      <c r="M158" s="354">
        <v>6160516</v>
      </c>
      <c r="N158" s="355">
        <v>6183643</v>
      </c>
      <c r="O158" s="355">
        <v>6776624</v>
      </c>
      <c r="P158" s="355">
        <v>5725438</v>
      </c>
      <c r="Q158" s="355">
        <v>5773372</v>
      </c>
      <c r="R158" s="355">
        <v>5209450</v>
      </c>
      <c r="S158" s="355">
        <v>4110758</v>
      </c>
      <c r="T158" s="355">
        <v>3314266</v>
      </c>
      <c r="U158" s="59">
        <f t="shared" si="19"/>
        <v>3314266</v>
      </c>
      <c r="V158" s="59">
        <f t="shared" si="20"/>
        <v>8650527</v>
      </c>
      <c r="W158" s="59">
        <f t="shared" si="21"/>
        <v>5861092.1</v>
      </c>
      <c r="X158" s="60">
        <f t="shared" si="22"/>
        <v>38.312879666175256</v>
      </c>
      <c r="AC158" s="53"/>
      <c r="AL158" s="65">
        <f>_xlfn.IFERROR(INDEX('Tabela PW'!$T:$T,'Słownik PW'!C158,1),"")</f>
        <v>3314266</v>
      </c>
    </row>
    <row r="159" spans="1:38" ht="15">
      <c r="A159" s="4" t="s">
        <v>163</v>
      </c>
      <c r="B159" s="5" t="s">
        <v>675</v>
      </c>
      <c r="C159" s="49" t="s">
        <v>169</v>
      </c>
      <c r="D159" s="349">
        <f t="shared" si="18"/>
        <v>63</v>
      </c>
      <c r="E159" s="350" t="s">
        <v>864</v>
      </c>
      <c r="F159" s="51" t="s">
        <v>154</v>
      </c>
      <c r="G159" s="351" t="s">
        <v>682</v>
      </c>
      <c r="H159" s="351" t="s">
        <v>1694</v>
      </c>
      <c r="I159" s="351" t="s">
        <v>1695</v>
      </c>
      <c r="J159" s="351" t="s">
        <v>3857</v>
      </c>
      <c r="K159" s="354">
        <v>1058096</v>
      </c>
      <c r="L159" s="355">
        <v>991534</v>
      </c>
      <c r="M159" s="354">
        <v>820867</v>
      </c>
      <c r="N159" s="355">
        <v>706542</v>
      </c>
      <c r="O159" s="355">
        <v>721573</v>
      </c>
      <c r="P159" s="355">
        <v>588365</v>
      </c>
      <c r="Q159" s="355">
        <v>629576</v>
      </c>
      <c r="R159" s="355">
        <v>626608</v>
      </c>
      <c r="S159" s="355">
        <v>568180</v>
      </c>
      <c r="T159" s="355">
        <v>366916</v>
      </c>
      <c r="U159" s="59">
        <f t="shared" si="19"/>
        <v>366916</v>
      </c>
      <c r="V159" s="59">
        <f t="shared" si="20"/>
        <v>1058096</v>
      </c>
      <c r="W159" s="59">
        <f t="shared" si="21"/>
        <v>707825.7</v>
      </c>
      <c r="X159" s="60">
        <f t="shared" si="22"/>
        <v>34.67700473302989</v>
      </c>
      <c r="AC159" s="53"/>
      <c r="AL159" s="65">
        <f>_xlfn.IFERROR(INDEX('Tabela PW'!$T:$T,'Słownik PW'!C159,1),"")</f>
        <v>366916</v>
      </c>
    </row>
    <row r="160" spans="1:38" ht="15">
      <c r="A160" s="4" t="s">
        <v>163</v>
      </c>
      <c r="B160" s="5" t="s">
        <v>675</v>
      </c>
      <c r="C160" s="49" t="s">
        <v>170</v>
      </c>
      <c r="D160" s="349">
        <f t="shared" si="18"/>
        <v>56</v>
      </c>
      <c r="E160" s="350" t="s">
        <v>865</v>
      </c>
      <c r="F160" s="51" t="s">
        <v>154</v>
      </c>
      <c r="G160" s="351" t="s">
        <v>682</v>
      </c>
      <c r="H160" s="351" t="s">
        <v>1696</v>
      </c>
      <c r="I160" s="351" t="s">
        <v>1697</v>
      </c>
      <c r="J160" s="351" t="s">
        <v>3858</v>
      </c>
      <c r="K160" s="354">
        <v>2110323</v>
      </c>
      <c r="L160" s="355">
        <v>1831384</v>
      </c>
      <c r="M160" s="354">
        <v>1797158</v>
      </c>
      <c r="N160" s="355">
        <v>1549690</v>
      </c>
      <c r="O160" s="355">
        <v>1442788</v>
      </c>
      <c r="P160" s="355">
        <v>1339969</v>
      </c>
      <c r="Q160" s="355">
        <v>1220548</v>
      </c>
      <c r="R160" s="355">
        <v>1129163</v>
      </c>
      <c r="S160" s="355">
        <v>918985</v>
      </c>
      <c r="T160" s="355">
        <v>740659</v>
      </c>
      <c r="U160" s="59">
        <f t="shared" si="19"/>
        <v>740659</v>
      </c>
      <c r="V160" s="59">
        <f t="shared" si="20"/>
        <v>2110323</v>
      </c>
      <c r="W160" s="59">
        <f t="shared" si="21"/>
        <v>1408066.7</v>
      </c>
      <c r="X160" s="60">
        <f t="shared" si="22"/>
        <v>35.09694961387427</v>
      </c>
      <c r="AC160" s="53"/>
      <c r="AL160" s="65">
        <f>_xlfn.IFERROR(INDEX('Tabela PW'!$T:$T,'Słownik PW'!C160,1),"")</f>
        <v>740659</v>
      </c>
    </row>
    <row r="161" spans="1:38" ht="15">
      <c r="A161" s="4" t="s">
        <v>163</v>
      </c>
      <c r="B161" s="5" t="s">
        <v>675</v>
      </c>
      <c r="C161" s="49" t="s">
        <v>171</v>
      </c>
      <c r="D161" s="349">
        <f t="shared" si="18"/>
        <v>82</v>
      </c>
      <c r="E161" s="350" t="s">
        <v>866</v>
      </c>
      <c r="F161" s="51" t="s">
        <v>154</v>
      </c>
      <c r="G161" s="351" t="s">
        <v>682</v>
      </c>
      <c r="H161" s="351" t="s">
        <v>1698</v>
      </c>
      <c r="I161" s="351" t="s">
        <v>1699</v>
      </c>
      <c r="J161" s="351" t="s">
        <v>3859</v>
      </c>
      <c r="K161" s="354">
        <v>5718912</v>
      </c>
      <c r="L161" s="355">
        <v>5003829</v>
      </c>
      <c r="M161" s="354">
        <v>4695429</v>
      </c>
      <c r="N161" s="355">
        <v>4351238</v>
      </c>
      <c r="O161" s="355">
        <v>4887413</v>
      </c>
      <c r="P161" s="355">
        <v>4933990</v>
      </c>
      <c r="Q161" s="355">
        <v>4868840</v>
      </c>
      <c r="R161" s="355">
        <v>4227566</v>
      </c>
      <c r="S161" s="355">
        <v>3801598</v>
      </c>
      <c r="T161" s="355">
        <v>3242599</v>
      </c>
      <c r="U161" s="59">
        <f t="shared" si="19"/>
        <v>3242599</v>
      </c>
      <c r="V161" s="59">
        <f t="shared" si="20"/>
        <v>5718912</v>
      </c>
      <c r="W161" s="59">
        <f t="shared" si="21"/>
        <v>4573141.4</v>
      </c>
      <c r="X161" s="60">
        <f t="shared" si="22"/>
        <v>56.69957852122921</v>
      </c>
      <c r="AC161" s="53"/>
      <c r="AL161" s="65">
        <f>_xlfn.IFERROR(INDEX('Tabela PW'!$T:$T,'Słownik PW'!C161,1),"")</f>
        <v>3242599</v>
      </c>
    </row>
    <row r="162" spans="1:38" ht="15">
      <c r="A162" s="4" t="s">
        <v>163</v>
      </c>
      <c r="B162" s="5" t="s">
        <v>675</v>
      </c>
      <c r="C162" s="49" t="s">
        <v>172</v>
      </c>
      <c r="D162" s="349">
        <f t="shared" si="18"/>
        <v>84</v>
      </c>
      <c r="E162" s="350" t="s">
        <v>867</v>
      </c>
      <c r="F162" s="51" t="s">
        <v>154</v>
      </c>
      <c r="G162" s="351" t="s">
        <v>682</v>
      </c>
      <c r="H162" s="351" t="s">
        <v>1700</v>
      </c>
      <c r="I162" s="351" t="s">
        <v>1701</v>
      </c>
      <c r="J162" s="351" t="s">
        <v>3860</v>
      </c>
      <c r="K162" s="354">
        <v>4963509</v>
      </c>
      <c r="L162" s="355">
        <v>4405322</v>
      </c>
      <c r="M162" s="354">
        <v>3352338</v>
      </c>
      <c r="N162" s="355">
        <v>3362661</v>
      </c>
      <c r="O162" s="355">
        <v>2851276</v>
      </c>
      <c r="P162" s="355">
        <v>2644734</v>
      </c>
      <c r="Q162" s="355">
        <v>3073624</v>
      </c>
      <c r="R162" s="355">
        <v>2505935</v>
      </c>
      <c r="S162" s="355">
        <v>2501254</v>
      </c>
      <c r="T162" s="355">
        <v>2474398</v>
      </c>
      <c r="U162" s="59">
        <f t="shared" si="19"/>
        <v>2474398</v>
      </c>
      <c r="V162" s="59">
        <f t="shared" si="20"/>
        <v>4963509</v>
      </c>
      <c r="W162" s="59">
        <f t="shared" si="21"/>
        <v>3213505.1</v>
      </c>
      <c r="X162" s="60">
        <f t="shared" si="22"/>
        <v>49.851788321528176</v>
      </c>
      <c r="AC162" s="53"/>
      <c r="AL162" s="65">
        <f>_xlfn.IFERROR(INDEX('Tabela PW'!$T:$T,'Słownik PW'!C162,1),"")</f>
        <v>2474398</v>
      </c>
    </row>
    <row r="163" spans="1:38" ht="15">
      <c r="A163" s="4" t="s">
        <v>163</v>
      </c>
      <c r="B163" s="5" t="s">
        <v>675</v>
      </c>
      <c r="C163" s="49" t="s">
        <v>173</v>
      </c>
      <c r="D163" s="349">
        <f t="shared" si="18"/>
        <v>39</v>
      </c>
      <c r="E163" s="350" t="s">
        <v>868</v>
      </c>
      <c r="F163" s="51" t="s">
        <v>156</v>
      </c>
      <c r="G163" s="351" t="s">
        <v>705</v>
      </c>
      <c r="H163" s="351" t="s">
        <v>1702</v>
      </c>
      <c r="I163" s="351" t="s">
        <v>1703</v>
      </c>
      <c r="J163" s="351" t="s">
        <v>3861</v>
      </c>
      <c r="K163" s="354">
        <v>1813</v>
      </c>
      <c r="L163" s="355">
        <v>1475</v>
      </c>
      <c r="M163" s="354">
        <v>1259</v>
      </c>
      <c r="N163" s="355">
        <v>1632</v>
      </c>
      <c r="O163" s="355">
        <v>1487</v>
      </c>
      <c r="P163" s="355">
        <v>902</v>
      </c>
      <c r="Q163" s="355">
        <v>868</v>
      </c>
      <c r="R163" s="355">
        <v>1130</v>
      </c>
      <c r="S163" s="355">
        <v>1406</v>
      </c>
      <c r="T163" s="355">
        <v>1301</v>
      </c>
      <c r="U163" s="59">
        <f t="shared" si="19"/>
        <v>868</v>
      </c>
      <c r="V163" s="59">
        <f t="shared" si="20"/>
        <v>1813</v>
      </c>
      <c r="W163" s="59">
        <f t="shared" si="21"/>
        <v>1327.3</v>
      </c>
      <c r="X163" s="60">
        <f t="shared" si="22"/>
        <v>71.75951461665747</v>
      </c>
      <c r="AC163" s="53"/>
      <c r="AL163" s="65">
        <f>_xlfn.IFERROR(INDEX('Tabela PW'!$T:$T,'Słownik PW'!C163,1),"")</f>
        <v>1301</v>
      </c>
    </row>
    <row r="164" spans="1:38" ht="15">
      <c r="A164" s="4" t="s">
        <v>163</v>
      </c>
      <c r="B164" s="5" t="s">
        <v>675</v>
      </c>
      <c r="C164" s="49" t="s">
        <v>174</v>
      </c>
      <c r="D164" s="349">
        <f t="shared" si="18"/>
        <v>68</v>
      </c>
      <c r="E164" s="350" t="s">
        <v>869</v>
      </c>
      <c r="F164" s="51" t="s">
        <v>156</v>
      </c>
      <c r="G164" s="351" t="s">
        <v>705</v>
      </c>
      <c r="H164" s="351" t="s">
        <v>1704</v>
      </c>
      <c r="I164" s="351" t="s">
        <v>1705</v>
      </c>
      <c r="J164" s="351" t="s">
        <v>3862</v>
      </c>
      <c r="K164" s="354">
        <v>8442</v>
      </c>
      <c r="L164" s="355">
        <v>9173</v>
      </c>
      <c r="M164" s="354">
        <v>7998</v>
      </c>
      <c r="N164" s="355">
        <v>7934</v>
      </c>
      <c r="O164" s="366">
        <v>7651</v>
      </c>
      <c r="P164" s="366">
        <v>6157</v>
      </c>
      <c r="Q164" s="355">
        <v>6107</v>
      </c>
      <c r="R164" s="355">
        <v>5564</v>
      </c>
      <c r="S164" s="355">
        <v>3932</v>
      </c>
      <c r="T164" s="355">
        <v>2882</v>
      </c>
      <c r="U164" s="59">
        <f t="shared" si="19"/>
        <v>2882</v>
      </c>
      <c r="V164" s="59">
        <f t="shared" si="20"/>
        <v>9173</v>
      </c>
      <c r="W164" s="59">
        <f t="shared" si="21"/>
        <v>6584</v>
      </c>
      <c r="X164" s="60">
        <f t="shared" si="22"/>
        <v>34.13882966121772</v>
      </c>
      <c r="AC164" s="53"/>
      <c r="AL164" s="65">
        <f>_xlfn.IFERROR(INDEX('Tabela PW'!$T:$T,'Słownik PW'!C164,1),"")</f>
        <v>2882</v>
      </c>
    </row>
    <row r="165" spans="1:38" ht="15">
      <c r="A165" s="4" t="s">
        <v>163</v>
      </c>
      <c r="B165" s="5" t="s">
        <v>675</v>
      </c>
      <c r="C165" s="49" t="s">
        <v>175</v>
      </c>
      <c r="D165" s="349">
        <f t="shared" si="18"/>
        <v>54</v>
      </c>
      <c r="E165" s="350" t="s">
        <v>870</v>
      </c>
      <c r="F165" s="51" t="s">
        <v>156</v>
      </c>
      <c r="G165" s="351" t="s">
        <v>705</v>
      </c>
      <c r="H165" s="351" t="s">
        <v>1706</v>
      </c>
      <c r="I165" s="351" t="s">
        <v>1707</v>
      </c>
      <c r="J165" s="351" t="s">
        <v>3863</v>
      </c>
      <c r="K165" s="354">
        <v>4283</v>
      </c>
      <c r="L165" s="355">
        <v>4426</v>
      </c>
      <c r="M165" s="354">
        <v>4186</v>
      </c>
      <c r="N165" s="355">
        <v>4095</v>
      </c>
      <c r="O165" s="355">
        <v>3780</v>
      </c>
      <c r="P165" s="355">
        <v>3827</v>
      </c>
      <c r="Q165" s="355">
        <v>3649</v>
      </c>
      <c r="R165" s="355">
        <v>3887</v>
      </c>
      <c r="S165" s="355">
        <v>4015</v>
      </c>
      <c r="T165" s="355">
        <v>3639</v>
      </c>
      <c r="U165" s="59">
        <f t="shared" si="19"/>
        <v>3639</v>
      </c>
      <c r="V165" s="59">
        <f t="shared" si="20"/>
        <v>4426</v>
      </c>
      <c r="W165" s="59">
        <f t="shared" si="21"/>
        <v>3978.7</v>
      </c>
      <c r="X165" s="60">
        <f t="shared" si="22"/>
        <v>84.96381041326173</v>
      </c>
      <c r="AC165" s="53"/>
      <c r="AL165" s="65">
        <f>_xlfn.IFERROR(INDEX('Tabela PW'!$T:$T,'Słownik PW'!C165,1),"")</f>
        <v>3639</v>
      </c>
    </row>
    <row r="166" spans="1:38" ht="15">
      <c r="A166" s="4" t="s">
        <v>163</v>
      </c>
      <c r="B166" s="5" t="s">
        <v>675</v>
      </c>
      <c r="C166" s="49" t="s">
        <v>176</v>
      </c>
      <c r="D166" s="349">
        <f t="shared" si="18"/>
        <v>85</v>
      </c>
      <c r="E166" s="350" t="s">
        <v>871</v>
      </c>
      <c r="F166" s="51" t="s">
        <v>156</v>
      </c>
      <c r="G166" s="351" t="s">
        <v>705</v>
      </c>
      <c r="H166" s="351" t="s">
        <v>1708</v>
      </c>
      <c r="I166" s="351" t="s">
        <v>1709</v>
      </c>
      <c r="J166" s="351" t="s">
        <v>3864</v>
      </c>
      <c r="K166" s="354">
        <v>5979</v>
      </c>
      <c r="L166" s="355">
        <v>4947</v>
      </c>
      <c r="M166" s="354">
        <v>4992</v>
      </c>
      <c r="N166" s="355">
        <v>4107</v>
      </c>
      <c r="O166" s="355">
        <v>3701</v>
      </c>
      <c r="P166" s="355">
        <v>2697</v>
      </c>
      <c r="Q166" s="355">
        <v>2688</v>
      </c>
      <c r="R166" s="355">
        <v>2621</v>
      </c>
      <c r="S166" s="355">
        <v>2453</v>
      </c>
      <c r="T166" s="355">
        <v>1999</v>
      </c>
      <c r="U166" s="59">
        <f t="shared" si="19"/>
        <v>1999</v>
      </c>
      <c r="V166" s="59">
        <f t="shared" si="20"/>
        <v>5979</v>
      </c>
      <c r="W166" s="59">
        <f t="shared" si="21"/>
        <v>3618.4</v>
      </c>
      <c r="X166" s="60">
        <f t="shared" si="22"/>
        <v>33.43368456263589</v>
      </c>
      <c r="AC166" s="53"/>
      <c r="AL166" s="65">
        <f>_xlfn.IFERROR(INDEX('Tabela PW'!$T:$T,'Słownik PW'!C166,1),"")</f>
        <v>1999</v>
      </c>
    </row>
    <row r="167" spans="1:38" ht="15">
      <c r="A167" s="4" t="s">
        <v>163</v>
      </c>
      <c r="B167" s="5" t="s">
        <v>675</v>
      </c>
      <c r="C167" s="49" t="s">
        <v>177</v>
      </c>
      <c r="D167" s="349">
        <f t="shared" si="18"/>
        <v>37</v>
      </c>
      <c r="E167" s="350" t="s">
        <v>872</v>
      </c>
      <c r="F167" s="51" t="s">
        <v>154</v>
      </c>
      <c r="G167" s="351" t="s">
        <v>682</v>
      </c>
      <c r="H167" s="351" t="s">
        <v>1710</v>
      </c>
      <c r="I167" s="351" t="s">
        <v>1711</v>
      </c>
      <c r="J167" s="351" t="s">
        <v>3865</v>
      </c>
      <c r="K167" s="354">
        <v>6241</v>
      </c>
      <c r="L167" s="355">
        <v>5034</v>
      </c>
      <c r="M167" s="354">
        <v>4231</v>
      </c>
      <c r="N167" s="355">
        <v>4103</v>
      </c>
      <c r="O167" s="355">
        <v>3950</v>
      </c>
      <c r="P167" s="355">
        <v>1820</v>
      </c>
      <c r="Q167" s="355">
        <v>3700</v>
      </c>
      <c r="R167" s="355">
        <v>1795</v>
      </c>
      <c r="S167" s="355">
        <v>1287</v>
      </c>
      <c r="T167" s="355">
        <v>1118</v>
      </c>
      <c r="U167" s="59">
        <f t="shared" si="19"/>
        <v>1118</v>
      </c>
      <c r="V167" s="59">
        <f t="shared" si="20"/>
        <v>6241</v>
      </c>
      <c r="W167" s="59">
        <f t="shared" si="21"/>
        <v>3327.9</v>
      </c>
      <c r="X167" s="60">
        <f t="shared" si="22"/>
        <v>17.913795866047106</v>
      </c>
      <c r="AC167" s="53"/>
      <c r="AL167" s="65">
        <f>_xlfn.IFERROR(INDEX('Tabela PW'!$T:$T,'Słownik PW'!C167,1),"")</f>
        <v>1118</v>
      </c>
    </row>
    <row r="168" spans="1:38" ht="15">
      <c r="A168" s="4" t="s">
        <v>163</v>
      </c>
      <c r="B168" s="5" t="s">
        <v>675</v>
      </c>
      <c r="C168" s="49" t="s">
        <v>178</v>
      </c>
      <c r="D168" s="349">
        <f t="shared" si="18"/>
        <v>20</v>
      </c>
      <c r="E168" s="350" t="s">
        <v>873</v>
      </c>
      <c r="F168" s="51" t="s">
        <v>156</v>
      </c>
      <c r="G168" s="351" t="s">
        <v>705</v>
      </c>
      <c r="H168" s="351" t="s">
        <v>1712</v>
      </c>
      <c r="I168" s="351" t="s">
        <v>1713</v>
      </c>
      <c r="J168" s="351" t="s">
        <v>3866</v>
      </c>
      <c r="K168" s="354">
        <v>322048</v>
      </c>
      <c r="L168" s="355">
        <v>352275</v>
      </c>
      <c r="M168" s="354">
        <v>292423</v>
      </c>
      <c r="N168" s="355">
        <v>285034</v>
      </c>
      <c r="O168" s="355">
        <v>300216</v>
      </c>
      <c r="P168" s="355">
        <v>296759</v>
      </c>
      <c r="Q168" s="355">
        <v>292643</v>
      </c>
      <c r="R168" s="355">
        <v>276449</v>
      </c>
      <c r="S168" s="355">
        <v>241954</v>
      </c>
      <c r="T168" s="355">
        <v>219527</v>
      </c>
      <c r="U168" s="59">
        <f t="shared" si="19"/>
        <v>219527</v>
      </c>
      <c r="V168" s="59">
        <f t="shared" si="20"/>
        <v>352275</v>
      </c>
      <c r="W168" s="59">
        <f t="shared" si="21"/>
        <v>287932.8</v>
      </c>
      <c r="X168" s="60">
        <f t="shared" si="22"/>
        <v>68.16592557631161</v>
      </c>
      <c r="AC168" s="53"/>
      <c r="AL168" s="65">
        <f>_xlfn.IFERROR(INDEX('Tabela PW'!$T:$T,'Słownik PW'!C168,1),"")</f>
        <v>219527</v>
      </c>
    </row>
    <row r="169" spans="1:38" ht="15">
      <c r="A169" s="4" t="s">
        <v>163</v>
      </c>
      <c r="B169" s="5" t="s">
        <v>675</v>
      </c>
      <c r="C169" s="49" t="s">
        <v>179</v>
      </c>
      <c r="D169" s="349">
        <f t="shared" si="18"/>
        <v>18</v>
      </c>
      <c r="E169" s="350" t="s">
        <v>874</v>
      </c>
      <c r="F169" s="51" t="s">
        <v>156</v>
      </c>
      <c r="G169" s="351" t="s">
        <v>705</v>
      </c>
      <c r="H169" s="351" t="s">
        <v>1714</v>
      </c>
      <c r="I169" s="351" t="s">
        <v>1715</v>
      </c>
      <c r="J169" s="351" t="s">
        <v>3867</v>
      </c>
      <c r="K169" s="354">
        <v>155099</v>
      </c>
      <c r="L169" s="355">
        <v>169973</v>
      </c>
      <c r="M169" s="354">
        <v>136235</v>
      </c>
      <c r="N169" s="355">
        <v>134578</v>
      </c>
      <c r="O169" s="355">
        <v>138732</v>
      </c>
      <c r="P169" s="355">
        <v>124325</v>
      </c>
      <c r="Q169" s="355">
        <v>118079</v>
      </c>
      <c r="R169" s="355">
        <v>109786</v>
      </c>
      <c r="S169" s="355">
        <v>94460</v>
      </c>
      <c r="T169" s="355">
        <v>76010</v>
      </c>
      <c r="U169" s="59">
        <f t="shared" si="19"/>
        <v>76010</v>
      </c>
      <c r="V169" s="59">
        <f t="shared" si="20"/>
        <v>169973</v>
      </c>
      <c r="W169" s="59">
        <f t="shared" si="21"/>
        <v>125727.7</v>
      </c>
      <c r="X169" s="60">
        <f t="shared" si="22"/>
        <v>49.00740817155494</v>
      </c>
      <c r="AC169" s="53"/>
      <c r="AL169" s="65">
        <f>_xlfn.IFERROR(INDEX('Tabela PW'!$T:$T,'Słownik PW'!C169,1),"")</f>
        <v>76010</v>
      </c>
    </row>
    <row r="170" spans="1:38" ht="15">
      <c r="A170" s="4" t="s">
        <v>163</v>
      </c>
      <c r="B170" s="5" t="s">
        <v>675</v>
      </c>
      <c r="C170" s="49" t="s">
        <v>180</v>
      </c>
      <c r="D170" s="349">
        <f t="shared" si="18"/>
        <v>8</v>
      </c>
      <c r="E170" s="350" t="s">
        <v>875</v>
      </c>
      <c r="F170" s="51" t="s">
        <v>181</v>
      </c>
      <c r="G170" s="351" t="s">
        <v>704</v>
      </c>
      <c r="H170" s="351" t="s">
        <v>1716</v>
      </c>
      <c r="I170" s="351" t="s">
        <v>1717</v>
      </c>
      <c r="J170" s="351" t="s">
        <v>3868</v>
      </c>
      <c r="K170" s="354">
        <v>63933</v>
      </c>
      <c r="L170" s="355">
        <v>58500</v>
      </c>
      <c r="M170" s="354">
        <v>66179</v>
      </c>
      <c r="N170" s="355">
        <v>66561</v>
      </c>
      <c r="O170" s="355">
        <v>71116</v>
      </c>
      <c r="P170" s="355">
        <v>80768</v>
      </c>
      <c r="Q170" s="355">
        <v>81092</v>
      </c>
      <c r="R170" s="355">
        <v>62887</v>
      </c>
      <c r="S170" s="355">
        <v>62963</v>
      </c>
      <c r="T170" s="355">
        <v>63395</v>
      </c>
      <c r="U170" s="59">
        <f t="shared" si="19"/>
        <v>58500</v>
      </c>
      <c r="V170" s="59">
        <f t="shared" si="20"/>
        <v>81092</v>
      </c>
      <c r="W170" s="59">
        <f t="shared" si="21"/>
        <v>67739.4</v>
      </c>
      <c r="X170" s="60">
        <f t="shared" si="22"/>
        <v>99.15849404845699</v>
      </c>
      <c r="AC170" s="53"/>
      <c r="AL170" s="65">
        <f>_xlfn.IFERROR(INDEX('Tabela PW'!$T:$T,'Słownik PW'!C170,1),"")</f>
        <v>63395</v>
      </c>
    </row>
    <row r="171" spans="1:38" ht="15">
      <c r="A171" s="4" t="s">
        <v>163</v>
      </c>
      <c r="B171" s="5" t="s">
        <v>675</v>
      </c>
      <c r="C171" s="49" t="s">
        <v>182</v>
      </c>
      <c r="D171" s="349">
        <f t="shared" si="18"/>
        <v>70</v>
      </c>
      <c r="E171" s="350" t="s">
        <v>876</v>
      </c>
      <c r="F171" s="51" t="s">
        <v>156</v>
      </c>
      <c r="G171" s="351" t="s">
        <v>705</v>
      </c>
      <c r="H171" s="351" t="s">
        <v>1718</v>
      </c>
      <c r="I171" s="351" t="s">
        <v>1719</v>
      </c>
      <c r="J171" s="351" t="s">
        <v>3869</v>
      </c>
      <c r="K171" s="354">
        <v>5513</v>
      </c>
      <c r="L171" s="355">
        <v>4944</v>
      </c>
      <c r="M171" s="354">
        <v>4911</v>
      </c>
      <c r="N171" s="355">
        <v>4858</v>
      </c>
      <c r="O171" s="355">
        <v>4712</v>
      </c>
      <c r="P171" s="355">
        <v>4075</v>
      </c>
      <c r="Q171" s="355">
        <v>4209</v>
      </c>
      <c r="R171" s="355">
        <v>3973</v>
      </c>
      <c r="S171" s="355">
        <v>3738</v>
      </c>
      <c r="T171" s="355">
        <v>3506</v>
      </c>
      <c r="U171" s="59">
        <f t="shared" si="19"/>
        <v>3506</v>
      </c>
      <c r="V171" s="59">
        <f t="shared" si="20"/>
        <v>5513</v>
      </c>
      <c r="W171" s="59">
        <f t="shared" si="21"/>
        <v>4443.9</v>
      </c>
      <c r="X171" s="60">
        <f t="shared" si="22"/>
        <v>63.595138762923995</v>
      </c>
      <c r="AC171" s="53"/>
      <c r="AL171" s="65">
        <f>_xlfn.IFERROR(INDEX('Tabela PW'!$T:$T,'Słownik PW'!C171,1),"")</f>
        <v>3506</v>
      </c>
    </row>
    <row r="172" spans="1:38" ht="15">
      <c r="A172" s="4" t="s">
        <v>183</v>
      </c>
      <c r="B172" s="5" t="s">
        <v>676</v>
      </c>
      <c r="C172" s="50" t="s">
        <v>185</v>
      </c>
      <c r="D172" s="349">
        <f t="shared" si="18"/>
        <v>82</v>
      </c>
      <c r="E172" s="350" t="s">
        <v>877</v>
      </c>
      <c r="F172" s="51" t="s">
        <v>25</v>
      </c>
      <c r="G172" s="351" t="s">
        <v>683</v>
      </c>
      <c r="H172" s="351" t="s">
        <v>1720</v>
      </c>
      <c r="I172" s="351" t="s">
        <v>1721</v>
      </c>
      <c r="J172" s="351" t="s">
        <v>3872</v>
      </c>
      <c r="K172" s="354">
        <v>14952</v>
      </c>
      <c r="L172" s="355">
        <v>16197</v>
      </c>
      <c r="M172" s="354">
        <v>14438</v>
      </c>
      <c r="N172" s="355">
        <v>13898</v>
      </c>
      <c r="O172" s="355">
        <v>16416</v>
      </c>
      <c r="P172" s="355">
        <v>14255</v>
      </c>
      <c r="Q172" s="355">
        <v>18506</v>
      </c>
      <c r="R172" s="355">
        <v>20203</v>
      </c>
      <c r="S172" s="355">
        <v>20310</v>
      </c>
      <c r="T172" s="355">
        <v>12578</v>
      </c>
      <c r="U172" s="59">
        <f t="shared" si="19"/>
        <v>12578</v>
      </c>
      <c r="V172" s="59">
        <f t="shared" si="20"/>
        <v>20310</v>
      </c>
      <c r="W172" s="59">
        <f t="shared" si="21"/>
        <v>16175.3</v>
      </c>
      <c r="X172" s="60">
        <f t="shared" si="22"/>
        <v>84.12252541466025</v>
      </c>
      <c r="AC172" s="53"/>
      <c r="AL172" s="65">
        <f>_xlfn.IFERROR(INDEX('Tabela PW'!$T:$T,'Słownik PW'!C172,1),"")</f>
        <v>12578</v>
      </c>
    </row>
    <row r="173" spans="1:38" ht="15">
      <c r="A173" s="4" t="s">
        <v>183</v>
      </c>
      <c r="B173" s="5" t="s">
        <v>676</v>
      </c>
      <c r="C173" s="50" t="s">
        <v>4379</v>
      </c>
      <c r="D173" s="349">
        <f t="shared" si="18"/>
        <v>39</v>
      </c>
      <c r="E173" s="350" t="s">
        <v>878</v>
      </c>
      <c r="F173" s="51" t="s">
        <v>25</v>
      </c>
      <c r="G173" s="350" t="s">
        <v>683</v>
      </c>
      <c r="H173" s="351" t="s">
        <v>1722</v>
      </c>
      <c r="I173" s="351" t="s">
        <v>1723</v>
      </c>
      <c r="J173" s="351" t="s">
        <v>3870</v>
      </c>
      <c r="K173" s="354">
        <v>6507</v>
      </c>
      <c r="L173" s="355">
        <v>5873</v>
      </c>
      <c r="M173" s="354">
        <v>5712</v>
      </c>
      <c r="N173" s="355">
        <v>5955</v>
      </c>
      <c r="O173" s="355">
        <v>6539</v>
      </c>
      <c r="P173" s="355">
        <v>6218</v>
      </c>
      <c r="Q173" s="355">
        <v>9218</v>
      </c>
      <c r="R173" s="355">
        <v>10872</v>
      </c>
      <c r="S173" s="355">
        <v>11999</v>
      </c>
      <c r="T173" s="355">
        <v>4429</v>
      </c>
      <c r="U173" s="59">
        <f t="shared" si="19"/>
        <v>4429</v>
      </c>
      <c r="V173" s="59">
        <f t="shared" si="20"/>
        <v>11999</v>
      </c>
      <c r="W173" s="59">
        <f t="shared" si="21"/>
        <v>7332.2</v>
      </c>
      <c r="X173" s="60">
        <f t="shared" si="22"/>
        <v>68.06516059628093</v>
      </c>
      <c r="AC173" s="53"/>
      <c r="AL173" s="65">
        <f>_xlfn.IFERROR(INDEX('Tabela PW'!$T:$T,'Słownik PW'!C173,1),"")</f>
        <v>4429</v>
      </c>
    </row>
    <row r="174" spans="1:38" ht="15">
      <c r="A174" s="4" t="s">
        <v>183</v>
      </c>
      <c r="B174" s="5" t="s">
        <v>676</v>
      </c>
      <c r="C174" s="50" t="s">
        <v>184</v>
      </c>
      <c r="D174" s="349">
        <f t="shared" si="18"/>
        <v>14</v>
      </c>
      <c r="E174" s="350" t="s">
        <v>879</v>
      </c>
      <c r="F174" s="51" t="s">
        <v>146</v>
      </c>
      <c r="G174" s="350" t="s">
        <v>703</v>
      </c>
      <c r="H174" s="351" t="s">
        <v>1724</v>
      </c>
      <c r="I174" s="351" t="s">
        <v>1725</v>
      </c>
      <c r="J174" s="351" t="s">
        <v>3871</v>
      </c>
      <c r="K174" s="354">
        <v>985</v>
      </c>
      <c r="L174" s="355">
        <v>985</v>
      </c>
      <c r="M174" s="354">
        <v>1100</v>
      </c>
      <c r="N174" s="355">
        <v>1207</v>
      </c>
      <c r="O174" s="355">
        <v>1038</v>
      </c>
      <c r="P174" s="355">
        <v>1002</v>
      </c>
      <c r="Q174" s="355">
        <v>878</v>
      </c>
      <c r="R174" s="355">
        <v>709</v>
      </c>
      <c r="S174" s="355">
        <v>648</v>
      </c>
      <c r="T174" s="355">
        <v>679</v>
      </c>
      <c r="U174" s="59">
        <f t="shared" si="19"/>
        <v>648</v>
      </c>
      <c r="V174" s="59">
        <f t="shared" si="20"/>
        <v>1207</v>
      </c>
      <c r="W174" s="59">
        <f t="shared" si="21"/>
        <v>923.1</v>
      </c>
      <c r="X174" s="60">
        <f t="shared" si="22"/>
        <v>68.93401015228426</v>
      </c>
      <c r="AC174" s="53"/>
      <c r="AL174" s="65">
        <f>_xlfn.IFERROR(INDEX('Tabela PW'!$T:$T,'Słownik PW'!C174,1),"")</f>
        <v>679</v>
      </c>
    </row>
    <row r="175" spans="1:38" ht="15">
      <c r="A175" s="4" t="s">
        <v>183</v>
      </c>
      <c r="B175" s="5" t="s">
        <v>676</v>
      </c>
      <c r="C175" s="50" t="s">
        <v>186</v>
      </c>
      <c r="D175" s="349">
        <f t="shared" si="18"/>
        <v>69</v>
      </c>
      <c r="E175" s="350" t="s">
        <v>880</v>
      </c>
      <c r="F175" s="51" t="s">
        <v>156</v>
      </c>
      <c r="G175" s="351" t="s">
        <v>705</v>
      </c>
      <c r="H175" s="351" t="s">
        <v>1726</v>
      </c>
      <c r="I175" s="351" t="s">
        <v>1727</v>
      </c>
      <c r="J175" s="351" t="s">
        <v>3873</v>
      </c>
      <c r="K175" s="354">
        <v>3491</v>
      </c>
      <c r="L175" s="355">
        <v>4041</v>
      </c>
      <c r="M175" s="354">
        <v>3624</v>
      </c>
      <c r="N175" s="355">
        <v>4454</v>
      </c>
      <c r="O175" s="355">
        <v>4688</v>
      </c>
      <c r="P175" s="355">
        <v>4510</v>
      </c>
      <c r="Q175" s="355">
        <v>4119</v>
      </c>
      <c r="R175" s="355">
        <v>4040</v>
      </c>
      <c r="S175" s="355">
        <v>4659</v>
      </c>
      <c r="T175" s="355">
        <v>3915</v>
      </c>
      <c r="U175" s="59">
        <f t="shared" si="19"/>
        <v>3491</v>
      </c>
      <c r="V175" s="59">
        <f t="shared" si="20"/>
        <v>4688</v>
      </c>
      <c r="W175" s="59">
        <f t="shared" si="21"/>
        <v>4154.1</v>
      </c>
      <c r="X175" s="60">
        <f t="shared" si="22"/>
        <v>112.14551704382698</v>
      </c>
      <c r="AC175" s="53"/>
      <c r="AL175" s="65">
        <f>_xlfn.IFERROR(INDEX('Tabela PW'!$T:$T,'Słownik PW'!C175,1),"")</f>
        <v>3915</v>
      </c>
    </row>
    <row r="176" spans="1:38" ht="15">
      <c r="A176" s="4" t="s">
        <v>183</v>
      </c>
      <c r="B176" s="5" t="s">
        <v>676</v>
      </c>
      <c r="C176" s="49" t="s">
        <v>187</v>
      </c>
      <c r="D176" s="349">
        <f t="shared" si="18"/>
        <v>24</v>
      </c>
      <c r="E176" s="350" t="s">
        <v>881</v>
      </c>
      <c r="F176" s="51" t="s">
        <v>156</v>
      </c>
      <c r="G176" s="351" t="s">
        <v>705</v>
      </c>
      <c r="H176" s="351" t="s">
        <v>1728</v>
      </c>
      <c r="I176" s="351" t="s">
        <v>1729</v>
      </c>
      <c r="J176" s="351" t="s">
        <v>3874</v>
      </c>
      <c r="K176" s="354">
        <v>421</v>
      </c>
      <c r="L176" s="355">
        <v>251</v>
      </c>
      <c r="M176" s="354">
        <v>240</v>
      </c>
      <c r="N176" s="355">
        <v>173</v>
      </c>
      <c r="O176" s="355">
        <v>188</v>
      </c>
      <c r="P176" s="355">
        <v>216</v>
      </c>
      <c r="Q176" s="355">
        <v>269</v>
      </c>
      <c r="R176" s="355">
        <v>350</v>
      </c>
      <c r="S176" s="355">
        <v>518</v>
      </c>
      <c r="T176" s="355">
        <v>570</v>
      </c>
      <c r="U176" s="59">
        <f t="shared" si="19"/>
        <v>173</v>
      </c>
      <c r="V176" s="59">
        <f t="shared" si="20"/>
        <v>570</v>
      </c>
      <c r="W176" s="59">
        <f t="shared" si="21"/>
        <v>319.6</v>
      </c>
      <c r="X176" s="60">
        <f t="shared" si="22"/>
        <v>135.3919239904988</v>
      </c>
      <c r="AC176" s="53"/>
      <c r="AL176" s="65">
        <f>_xlfn.IFERROR(INDEX('Tabela PW'!$T:$T,'Słownik PW'!C176,1),"")</f>
        <v>570</v>
      </c>
    </row>
    <row r="177" spans="1:38" ht="15">
      <c r="A177" s="4" t="s">
        <v>183</v>
      </c>
      <c r="B177" s="5" t="s">
        <v>676</v>
      </c>
      <c r="C177" s="49" t="s">
        <v>188</v>
      </c>
      <c r="D177" s="349">
        <f t="shared" si="18"/>
        <v>31</v>
      </c>
      <c r="E177" s="350" t="s">
        <v>882</v>
      </c>
      <c r="F177" s="51" t="s">
        <v>181</v>
      </c>
      <c r="G177" s="351" t="s">
        <v>704</v>
      </c>
      <c r="H177" s="351" t="s">
        <v>1730</v>
      </c>
      <c r="I177" s="351" t="s">
        <v>1731</v>
      </c>
      <c r="J177" s="351" t="s">
        <v>3875</v>
      </c>
      <c r="K177" s="354">
        <v>36370</v>
      </c>
      <c r="L177" s="355">
        <v>38183</v>
      </c>
      <c r="M177" s="354">
        <v>35682</v>
      </c>
      <c r="N177" s="355">
        <v>41535</v>
      </c>
      <c r="O177" s="355">
        <v>46171</v>
      </c>
      <c r="P177" s="355">
        <v>42463</v>
      </c>
      <c r="Q177" s="355">
        <v>46390</v>
      </c>
      <c r="R177" s="355">
        <v>46860</v>
      </c>
      <c r="S177" s="355">
        <v>43429</v>
      </c>
      <c r="T177" s="355">
        <v>36875</v>
      </c>
      <c r="U177" s="59">
        <f t="shared" si="19"/>
        <v>35682</v>
      </c>
      <c r="V177" s="59">
        <f t="shared" si="20"/>
        <v>46860</v>
      </c>
      <c r="W177" s="59">
        <f t="shared" si="21"/>
        <v>41395.8</v>
      </c>
      <c r="X177" s="60">
        <f t="shared" si="22"/>
        <v>101.38850701127302</v>
      </c>
      <c r="AC177" s="53"/>
      <c r="AL177" s="65">
        <f>_xlfn.IFERROR(INDEX('Tabela PW'!$T:$T,'Słownik PW'!C177,1),"")</f>
        <v>36875</v>
      </c>
    </row>
    <row r="178" spans="1:38" ht="15">
      <c r="A178" s="4" t="s">
        <v>183</v>
      </c>
      <c r="B178" s="5" t="s">
        <v>676</v>
      </c>
      <c r="C178" s="49" t="s">
        <v>189</v>
      </c>
      <c r="D178" s="349">
        <f t="shared" si="18"/>
        <v>39</v>
      </c>
      <c r="E178" s="350" t="s">
        <v>883</v>
      </c>
      <c r="F178" s="51" t="s">
        <v>181</v>
      </c>
      <c r="G178" s="351" t="s">
        <v>704</v>
      </c>
      <c r="H178" s="351" t="s">
        <v>1732</v>
      </c>
      <c r="I178" s="351" t="s">
        <v>1733</v>
      </c>
      <c r="J178" s="351" t="s">
        <v>3876</v>
      </c>
      <c r="K178" s="354">
        <v>11784</v>
      </c>
      <c r="L178" s="355">
        <v>12049</v>
      </c>
      <c r="M178" s="354">
        <v>11489</v>
      </c>
      <c r="N178" s="355">
        <v>11860</v>
      </c>
      <c r="O178" s="355">
        <v>14907</v>
      </c>
      <c r="P178" s="355">
        <v>12430</v>
      </c>
      <c r="Q178" s="355">
        <v>14164</v>
      </c>
      <c r="R178" s="355">
        <v>14847</v>
      </c>
      <c r="S178" s="355">
        <v>11456</v>
      </c>
      <c r="T178" s="355">
        <v>9843</v>
      </c>
      <c r="U178" s="59">
        <f t="shared" si="19"/>
        <v>9843</v>
      </c>
      <c r="V178" s="59">
        <f t="shared" si="20"/>
        <v>14907</v>
      </c>
      <c r="W178" s="59">
        <f t="shared" si="21"/>
        <v>12482.9</v>
      </c>
      <c r="X178" s="60">
        <f t="shared" si="22"/>
        <v>83.52851323828921</v>
      </c>
      <c r="AC178" s="53"/>
      <c r="AL178" s="65">
        <f>_xlfn.IFERROR(INDEX('Tabela PW'!$T:$T,'Słownik PW'!C178,1),"")</f>
        <v>9843</v>
      </c>
    </row>
    <row r="179" spans="1:38" ht="15">
      <c r="A179" s="4" t="s">
        <v>183</v>
      </c>
      <c r="B179" s="5" t="s">
        <v>676</v>
      </c>
      <c r="C179" s="49" t="s">
        <v>190</v>
      </c>
      <c r="D179" s="349">
        <f t="shared" si="18"/>
        <v>72</v>
      </c>
      <c r="E179" s="350" t="s">
        <v>884</v>
      </c>
      <c r="F179" s="51" t="s">
        <v>181</v>
      </c>
      <c r="G179" s="351" t="s">
        <v>704</v>
      </c>
      <c r="H179" s="351" t="s">
        <v>1734</v>
      </c>
      <c r="I179" s="351" t="s">
        <v>1735</v>
      </c>
      <c r="J179" s="351" t="s">
        <v>3877</v>
      </c>
      <c r="K179" s="354">
        <v>8171</v>
      </c>
      <c r="L179" s="355">
        <v>8063</v>
      </c>
      <c r="M179" s="354">
        <v>7058</v>
      </c>
      <c r="N179" s="355">
        <v>7776</v>
      </c>
      <c r="O179" s="355">
        <v>8972</v>
      </c>
      <c r="P179" s="355">
        <v>8609</v>
      </c>
      <c r="Q179" s="355">
        <v>8781</v>
      </c>
      <c r="R179" s="355">
        <v>8792</v>
      </c>
      <c r="S179" s="355">
        <v>8073</v>
      </c>
      <c r="T179" s="355">
        <v>7212</v>
      </c>
      <c r="U179" s="59">
        <f t="shared" si="19"/>
        <v>7058</v>
      </c>
      <c r="V179" s="59">
        <f t="shared" si="20"/>
        <v>8972</v>
      </c>
      <c r="W179" s="59">
        <f t="shared" si="21"/>
        <v>8150.7</v>
      </c>
      <c r="X179" s="60">
        <f t="shared" si="22"/>
        <v>88.26337045649247</v>
      </c>
      <c r="AC179" s="53"/>
      <c r="AL179" s="65">
        <f>_xlfn.IFERROR(INDEX('Tabela PW'!$T:$T,'Słownik PW'!C179,1),"")</f>
        <v>7212</v>
      </c>
    </row>
    <row r="180" spans="1:38" ht="15">
      <c r="A180" s="4" t="s">
        <v>191</v>
      </c>
      <c r="B180" s="5" t="s">
        <v>677</v>
      </c>
      <c r="C180" s="49" t="s">
        <v>192</v>
      </c>
      <c r="D180" s="349">
        <f t="shared" si="18"/>
        <v>15</v>
      </c>
      <c r="E180" s="350" t="s">
        <v>885</v>
      </c>
      <c r="F180" s="51" t="s">
        <v>193</v>
      </c>
      <c r="G180" s="351" t="s">
        <v>679</v>
      </c>
      <c r="H180" s="351" t="s">
        <v>1736</v>
      </c>
      <c r="I180" s="351" t="s">
        <v>1737</v>
      </c>
      <c r="J180" s="351" t="s">
        <v>3878</v>
      </c>
      <c r="K180" s="354">
        <v>3764914</v>
      </c>
      <c r="L180" s="355">
        <v>3946427</v>
      </c>
      <c r="M180" s="354">
        <v>3795938</v>
      </c>
      <c r="N180" s="355">
        <v>3873546</v>
      </c>
      <c r="O180" s="355">
        <v>4232703</v>
      </c>
      <c r="P180" s="355">
        <v>4315003</v>
      </c>
      <c r="Q180" s="355">
        <v>4352409</v>
      </c>
      <c r="R180" s="355">
        <v>4415367</v>
      </c>
      <c r="S180" s="355">
        <v>4395185</v>
      </c>
      <c r="T180" s="355">
        <v>4437960</v>
      </c>
      <c r="U180" s="59">
        <f t="shared" si="19"/>
        <v>3764914</v>
      </c>
      <c r="V180" s="59">
        <f t="shared" si="20"/>
        <v>4437960</v>
      </c>
      <c r="W180" s="59">
        <f t="shared" si="21"/>
        <v>4152945.2</v>
      </c>
      <c r="X180" s="60">
        <f t="shared" si="22"/>
        <v>117.8767961233643</v>
      </c>
      <c r="AC180" s="53"/>
      <c r="AL180" s="65">
        <f>_xlfn.IFERROR(INDEX('Tabela PW'!$T:$T,'Słownik PW'!C180,1),"")</f>
        <v>4437960</v>
      </c>
    </row>
    <row r="181" spans="1:38" ht="15">
      <c r="A181" s="4" t="s">
        <v>191</v>
      </c>
      <c r="B181" s="5" t="s">
        <v>677</v>
      </c>
      <c r="C181" s="49" t="s">
        <v>194</v>
      </c>
      <c r="D181" s="349">
        <f t="shared" si="18"/>
        <v>17</v>
      </c>
      <c r="E181" s="350" t="s">
        <v>886</v>
      </c>
      <c r="F181" s="51" t="s">
        <v>193</v>
      </c>
      <c r="G181" s="351" t="s">
        <v>679</v>
      </c>
      <c r="H181" s="351" t="s">
        <v>1738</v>
      </c>
      <c r="I181" s="351" t="s">
        <v>1739</v>
      </c>
      <c r="J181" s="351" t="s">
        <v>3879</v>
      </c>
      <c r="K181" s="354">
        <v>454935</v>
      </c>
      <c r="L181" s="355">
        <v>475593</v>
      </c>
      <c r="M181" s="354">
        <v>453022</v>
      </c>
      <c r="N181" s="355">
        <v>447059</v>
      </c>
      <c r="O181" s="355">
        <v>491986</v>
      </c>
      <c r="P181" s="355">
        <v>520186</v>
      </c>
      <c r="Q181" s="355">
        <v>558555</v>
      </c>
      <c r="R181" s="355">
        <v>574933</v>
      </c>
      <c r="S181" s="355">
        <v>564832</v>
      </c>
      <c r="T181" s="355">
        <v>522315</v>
      </c>
      <c r="U181" s="59">
        <f t="shared" si="19"/>
        <v>447059</v>
      </c>
      <c r="V181" s="59">
        <f t="shared" si="20"/>
        <v>574933</v>
      </c>
      <c r="W181" s="59">
        <f t="shared" si="21"/>
        <v>506341.6</v>
      </c>
      <c r="X181" s="60">
        <f t="shared" si="22"/>
        <v>114.81090705265586</v>
      </c>
      <c r="AC181" s="53"/>
      <c r="AL181" s="65">
        <f>_xlfn.IFERROR(INDEX('Tabela PW'!$T:$T,'Słownik PW'!C181,1),"")</f>
        <v>522315</v>
      </c>
    </row>
    <row r="182" spans="1:38" ht="15">
      <c r="A182" s="4" t="s">
        <v>191</v>
      </c>
      <c r="B182" s="5" t="s">
        <v>677</v>
      </c>
      <c r="C182" s="49" t="s">
        <v>195</v>
      </c>
      <c r="D182" s="349">
        <f t="shared" si="18"/>
        <v>14</v>
      </c>
      <c r="E182" s="350" t="s">
        <v>887</v>
      </c>
      <c r="F182" s="51" t="s">
        <v>193</v>
      </c>
      <c r="G182" s="351" t="s">
        <v>679</v>
      </c>
      <c r="H182" s="351" t="s">
        <v>1740</v>
      </c>
      <c r="I182" s="351" t="s">
        <v>1741</v>
      </c>
      <c r="J182" s="351" t="s">
        <v>3880</v>
      </c>
      <c r="K182" s="354">
        <v>4219849</v>
      </c>
      <c r="L182" s="355">
        <v>4422020</v>
      </c>
      <c r="M182" s="354">
        <v>4248960</v>
      </c>
      <c r="N182" s="355">
        <v>4320605</v>
      </c>
      <c r="O182" s="355">
        <v>4724689</v>
      </c>
      <c r="P182" s="355">
        <v>4835189</v>
      </c>
      <c r="Q182" s="355">
        <v>4910964</v>
      </c>
      <c r="R182" s="355">
        <v>4990300</v>
      </c>
      <c r="S182" s="355">
        <v>4960017</v>
      </c>
      <c r="T182" s="355">
        <v>4960275</v>
      </c>
      <c r="U182" s="59">
        <f t="shared" si="19"/>
        <v>4219849</v>
      </c>
      <c r="V182" s="59">
        <f t="shared" si="20"/>
        <v>4990300</v>
      </c>
      <c r="W182" s="59">
        <f t="shared" si="21"/>
        <v>4659286.8</v>
      </c>
      <c r="X182" s="60">
        <f t="shared" si="22"/>
        <v>117.54626765080931</v>
      </c>
      <c r="AC182" s="53"/>
      <c r="AL182" s="65">
        <f>_xlfn.IFERROR(INDEX('Tabela PW'!$T:$T,'Słownik PW'!C182,1),"")</f>
        <v>4960275</v>
      </c>
    </row>
    <row r="183" spans="1:38" ht="15">
      <c r="A183" s="4" t="s">
        <v>191</v>
      </c>
      <c r="B183" s="5" t="s">
        <v>677</v>
      </c>
      <c r="C183" s="49" t="s">
        <v>196</v>
      </c>
      <c r="D183" s="349">
        <f t="shared" si="18"/>
        <v>49</v>
      </c>
      <c r="E183" s="350" t="s">
        <v>888</v>
      </c>
      <c r="F183" s="51" t="s">
        <v>193</v>
      </c>
      <c r="G183" s="351" t="s">
        <v>679</v>
      </c>
      <c r="H183" s="351" t="s">
        <v>1742</v>
      </c>
      <c r="I183" s="351" t="s">
        <v>1743</v>
      </c>
      <c r="J183" s="351" t="s">
        <v>3881</v>
      </c>
      <c r="K183" s="354">
        <v>123344</v>
      </c>
      <c r="L183" s="355">
        <v>174915</v>
      </c>
      <c r="M183" s="354">
        <v>173643</v>
      </c>
      <c r="N183" s="355">
        <v>183518</v>
      </c>
      <c r="O183" s="355">
        <v>208322</v>
      </c>
      <c r="P183" s="355">
        <v>230171</v>
      </c>
      <c r="Q183" s="355">
        <v>476075</v>
      </c>
      <c r="R183" s="355">
        <v>558255</v>
      </c>
      <c r="S183" s="355">
        <v>592673</v>
      </c>
      <c r="T183" s="355">
        <v>532176</v>
      </c>
      <c r="U183" s="59">
        <f t="shared" si="19"/>
        <v>123344</v>
      </c>
      <c r="V183" s="59">
        <f t="shared" si="20"/>
        <v>592673</v>
      </c>
      <c r="W183" s="59">
        <f t="shared" si="21"/>
        <v>325309.2</v>
      </c>
      <c r="X183" s="60">
        <f t="shared" si="22"/>
        <v>431.45673887663764</v>
      </c>
      <c r="AC183" s="53"/>
      <c r="AL183" s="65">
        <f>_xlfn.IFERROR(INDEX('Tabela PW'!$T:$T,'Słownik PW'!C183,1),"")</f>
        <v>532176</v>
      </c>
    </row>
    <row r="184" spans="1:38" ht="15">
      <c r="A184" s="4" t="s">
        <v>191</v>
      </c>
      <c r="B184" s="5" t="s">
        <v>677</v>
      </c>
      <c r="C184" s="49" t="s">
        <v>197</v>
      </c>
      <c r="D184" s="349">
        <f t="shared" si="18"/>
        <v>82</v>
      </c>
      <c r="E184" s="350" t="s">
        <v>889</v>
      </c>
      <c r="F184" s="51" t="s">
        <v>193</v>
      </c>
      <c r="G184" s="351" t="s">
        <v>679</v>
      </c>
      <c r="H184" s="351" t="s">
        <v>1744</v>
      </c>
      <c r="I184" s="351" t="s">
        <v>1745</v>
      </c>
      <c r="J184" s="351" t="s">
        <v>3882</v>
      </c>
      <c r="K184" s="354">
        <v>4684097</v>
      </c>
      <c r="L184" s="355">
        <v>4917475</v>
      </c>
      <c r="M184" s="354">
        <v>4879379</v>
      </c>
      <c r="N184" s="355">
        <v>4785770</v>
      </c>
      <c r="O184" s="355">
        <v>4809477</v>
      </c>
      <c r="P184" s="355">
        <v>5014139</v>
      </c>
      <c r="Q184" s="355">
        <v>5417388</v>
      </c>
      <c r="R184" s="355">
        <v>5616863</v>
      </c>
      <c r="S184" s="355">
        <v>5863518</v>
      </c>
      <c r="T184" s="355">
        <v>6327494</v>
      </c>
      <c r="U184" s="59">
        <f t="shared" si="19"/>
        <v>4684097</v>
      </c>
      <c r="V184" s="59">
        <f t="shared" si="20"/>
        <v>6327494</v>
      </c>
      <c r="W184" s="59">
        <f t="shared" si="21"/>
        <v>5231560</v>
      </c>
      <c r="X184" s="60">
        <f t="shared" si="22"/>
        <v>135.0846064887213</v>
      </c>
      <c r="AC184" s="53"/>
      <c r="AL184" s="65">
        <f>_xlfn.IFERROR(INDEX('Tabela PW'!$T:$T,'Słownik PW'!C184,1),"")</f>
        <v>6327494</v>
      </c>
    </row>
    <row r="185" spans="1:38" ht="15">
      <c r="A185" s="4" t="s">
        <v>191</v>
      </c>
      <c r="B185" s="5" t="s">
        <v>677</v>
      </c>
      <c r="C185" s="49" t="s">
        <v>198</v>
      </c>
      <c r="D185" s="349">
        <f t="shared" si="18"/>
        <v>68</v>
      </c>
      <c r="E185" s="350" t="s">
        <v>890</v>
      </c>
      <c r="F185" s="51" t="s">
        <v>146</v>
      </c>
      <c r="G185" s="351" t="s">
        <v>703</v>
      </c>
      <c r="H185" s="351" t="s">
        <v>1746</v>
      </c>
      <c r="I185" s="351" t="s">
        <v>1747</v>
      </c>
      <c r="J185" s="351" t="s">
        <v>3883</v>
      </c>
      <c r="K185" s="354">
        <v>501418</v>
      </c>
      <c r="L185" s="355">
        <v>490955</v>
      </c>
      <c r="M185" s="354">
        <v>501678</v>
      </c>
      <c r="N185" s="355">
        <v>573712</v>
      </c>
      <c r="O185" s="355">
        <v>620257</v>
      </c>
      <c r="P185" s="355">
        <v>644863</v>
      </c>
      <c r="Q185" s="355">
        <v>672008</v>
      </c>
      <c r="R185" s="355">
        <v>727774</v>
      </c>
      <c r="S185" s="355">
        <v>736024</v>
      </c>
      <c r="T185" s="355">
        <v>731151</v>
      </c>
      <c r="U185" s="59">
        <f t="shared" si="19"/>
        <v>490955</v>
      </c>
      <c r="V185" s="59">
        <f t="shared" si="20"/>
        <v>736024</v>
      </c>
      <c r="W185" s="59">
        <f t="shared" si="21"/>
        <v>619984</v>
      </c>
      <c r="X185" s="60">
        <f t="shared" si="22"/>
        <v>145.81666394106315</v>
      </c>
      <c r="AC185" s="53"/>
      <c r="AL185" s="65">
        <f>_xlfn.IFERROR(INDEX('Tabela PW'!$T:$T,'Słownik PW'!C185,1),"")</f>
        <v>731151</v>
      </c>
    </row>
    <row r="186" spans="1:38" ht="15">
      <c r="A186" s="4" t="s">
        <v>191</v>
      </c>
      <c r="B186" s="5" t="s">
        <v>677</v>
      </c>
      <c r="C186" s="49" t="s">
        <v>199</v>
      </c>
      <c r="D186" s="349">
        <f t="shared" si="18"/>
        <v>7</v>
      </c>
      <c r="E186" s="350" t="s">
        <v>891</v>
      </c>
      <c r="F186" s="51" t="s">
        <v>146</v>
      </c>
      <c r="G186" s="351" t="s">
        <v>703</v>
      </c>
      <c r="H186" s="351" t="s">
        <v>1748</v>
      </c>
      <c r="I186" s="351" t="s">
        <v>1749</v>
      </c>
      <c r="J186" s="351" t="s">
        <v>3884</v>
      </c>
      <c r="K186" s="354">
        <v>34846</v>
      </c>
      <c r="L186" s="355">
        <v>31987</v>
      </c>
      <c r="M186" s="354">
        <v>26844</v>
      </c>
      <c r="N186" s="355">
        <v>25081</v>
      </c>
      <c r="O186" s="355">
        <v>25230</v>
      </c>
      <c r="P186" s="355">
        <v>24882</v>
      </c>
      <c r="Q186" s="355">
        <v>22549</v>
      </c>
      <c r="R186" s="355">
        <v>24868</v>
      </c>
      <c r="S186" s="355">
        <v>22611</v>
      </c>
      <c r="T186" s="355">
        <v>21102</v>
      </c>
      <c r="U186" s="59">
        <f t="shared" si="19"/>
        <v>21102</v>
      </c>
      <c r="V186" s="59">
        <f t="shared" si="20"/>
        <v>34846</v>
      </c>
      <c r="W186" s="59">
        <f t="shared" si="21"/>
        <v>26000</v>
      </c>
      <c r="X186" s="60">
        <f t="shared" si="22"/>
        <v>60.557883257762725</v>
      </c>
      <c r="AC186" s="53"/>
      <c r="AL186" s="65">
        <f>_xlfn.IFERROR(INDEX('Tabela PW'!$T:$T,'Słownik PW'!C186,1),"")</f>
        <v>21102</v>
      </c>
    </row>
    <row r="187" spans="1:38" ht="15">
      <c r="A187" s="4" t="s">
        <v>191</v>
      </c>
      <c r="B187" s="5" t="s">
        <v>677</v>
      </c>
      <c r="C187" s="49" t="s">
        <v>200</v>
      </c>
      <c r="D187" s="349">
        <f t="shared" si="18"/>
        <v>56</v>
      </c>
      <c r="E187" s="350" t="s">
        <v>892</v>
      </c>
      <c r="F187" s="51" t="s">
        <v>201</v>
      </c>
      <c r="G187" s="351" t="s">
        <v>678</v>
      </c>
      <c r="H187" s="351" t="s">
        <v>1750</v>
      </c>
      <c r="I187" s="351" t="s">
        <v>1751</v>
      </c>
      <c r="J187" s="351" t="s">
        <v>3885</v>
      </c>
      <c r="K187" s="354">
        <v>1966161</v>
      </c>
      <c r="L187" s="355">
        <v>1881115</v>
      </c>
      <c r="M187" s="354">
        <v>1802397</v>
      </c>
      <c r="N187" s="355">
        <v>1899370</v>
      </c>
      <c r="O187" s="355">
        <v>2055430</v>
      </c>
      <c r="P187" s="355">
        <v>2051322</v>
      </c>
      <c r="Q187" s="355">
        <v>2006528</v>
      </c>
      <c r="R187" s="355">
        <v>2067893</v>
      </c>
      <c r="S187" s="355">
        <v>2326915</v>
      </c>
      <c r="T187" s="355">
        <v>2420894</v>
      </c>
      <c r="U187" s="59">
        <f t="shared" si="19"/>
        <v>1802397</v>
      </c>
      <c r="V187" s="59">
        <f t="shared" si="20"/>
        <v>2420894</v>
      </c>
      <c r="W187" s="59">
        <f t="shared" si="21"/>
        <v>2047802.5</v>
      </c>
      <c r="X187" s="60">
        <f t="shared" si="22"/>
        <v>123.12796357978823</v>
      </c>
      <c r="AC187" s="53"/>
      <c r="AL187" s="65">
        <f>_xlfn.IFERROR(INDEX('Tabela PW'!$T:$T,'Słownik PW'!C187,1),"")</f>
        <v>2420894</v>
      </c>
    </row>
    <row r="188" spans="1:38" ht="15">
      <c r="A188" s="4" t="s">
        <v>191</v>
      </c>
      <c r="B188" s="5" t="s">
        <v>677</v>
      </c>
      <c r="C188" s="49" t="s">
        <v>202</v>
      </c>
      <c r="D188" s="349">
        <f t="shared" si="18"/>
        <v>76</v>
      </c>
      <c r="E188" s="350" t="s">
        <v>893</v>
      </c>
      <c r="F188" s="51" t="s">
        <v>201</v>
      </c>
      <c r="G188" s="351" t="s">
        <v>678</v>
      </c>
      <c r="H188" s="351" t="s">
        <v>1752</v>
      </c>
      <c r="I188" s="351" t="s">
        <v>1753</v>
      </c>
      <c r="J188" s="351" t="s">
        <v>3886</v>
      </c>
      <c r="K188" s="354">
        <v>38960245</v>
      </c>
      <c r="L188" s="355">
        <v>44989828</v>
      </c>
      <c r="M188" s="354">
        <v>49381382</v>
      </c>
      <c r="N188" s="355">
        <v>52828631</v>
      </c>
      <c r="O188" s="355">
        <v>58858540</v>
      </c>
      <c r="P188" s="355">
        <v>60205389</v>
      </c>
      <c r="Q188" s="355">
        <v>63907484</v>
      </c>
      <c r="R188" s="355">
        <v>66844573</v>
      </c>
      <c r="S188" s="355">
        <v>61971270</v>
      </c>
      <c r="T188" s="355">
        <v>55813655</v>
      </c>
      <c r="U188" s="59">
        <f t="shared" si="19"/>
        <v>38960245</v>
      </c>
      <c r="V188" s="59">
        <f t="shared" si="20"/>
        <v>66844573</v>
      </c>
      <c r="W188" s="59">
        <f t="shared" si="21"/>
        <v>55376099.7</v>
      </c>
      <c r="X188" s="60">
        <f t="shared" si="22"/>
        <v>143.25796719194142</v>
      </c>
      <c r="AC188" s="53"/>
      <c r="AL188" s="65">
        <f>_xlfn.IFERROR(INDEX('Tabela PW'!$T:$T,'Słownik PW'!C188,1),"")</f>
        <v>55813655</v>
      </c>
    </row>
    <row r="189" spans="1:38" ht="15">
      <c r="A189" s="4" t="s">
        <v>191</v>
      </c>
      <c r="B189" s="5" t="s">
        <v>677</v>
      </c>
      <c r="C189" s="49" t="s">
        <v>203</v>
      </c>
      <c r="D189" s="349">
        <f t="shared" si="18"/>
        <v>42</v>
      </c>
      <c r="E189" s="350" t="s">
        <v>894</v>
      </c>
      <c r="F189" s="51" t="s">
        <v>201</v>
      </c>
      <c r="G189" s="351" t="s">
        <v>678</v>
      </c>
      <c r="H189" s="351" t="s">
        <v>1754</v>
      </c>
      <c r="I189" s="351" t="s">
        <v>1755</v>
      </c>
      <c r="J189" s="351" t="s">
        <v>3887</v>
      </c>
      <c r="K189" s="354">
        <v>14556848</v>
      </c>
      <c r="L189" s="355">
        <v>14006465</v>
      </c>
      <c r="M189" s="354">
        <v>13790418</v>
      </c>
      <c r="N189" s="355">
        <v>13272527</v>
      </c>
      <c r="O189" s="355">
        <v>15130980</v>
      </c>
      <c r="P189" s="355">
        <v>16927083</v>
      </c>
      <c r="Q189" s="355">
        <v>18997691</v>
      </c>
      <c r="R189" s="355">
        <v>19650452</v>
      </c>
      <c r="S189" s="355">
        <v>20232404</v>
      </c>
      <c r="T189" s="355">
        <v>19620901</v>
      </c>
      <c r="U189" s="59">
        <f t="shared" si="19"/>
        <v>13272527</v>
      </c>
      <c r="V189" s="59">
        <f t="shared" si="20"/>
        <v>20232404</v>
      </c>
      <c r="W189" s="59">
        <f t="shared" si="21"/>
        <v>16618576.9</v>
      </c>
      <c r="X189" s="60">
        <f t="shared" si="22"/>
        <v>134.7881148446422</v>
      </c>
      <c r="AC189" s="53"/>
      <c r="AL189" s="65">
        <f>_xlfn.IFERROR(INDEX('Tabela PW'!$T:$T,'Słownik PW'!C189,1),"")</f>
        <v>19620901</v>
      </c>
    </row>
    <row r="190" spans="1:38" ht="15">
      <c r="A190" s="4" t="s">
        <v>191</v>
      </c>
      <c r="B190" s="5" t="s">
        <v>677</v>
      </c>
      <c r="C190" s="49" t="s">
        <v>204</v>
      </c>
      <c r="D190" s="349">
        <f t="shared" si="18"/>
        <v>41</v>
      </c>
      <c r="E190" s="350" t="s">
        <v>895</v>
      </c>
      <c r="F190" s="51" t="s">
        <v>154</v>
      </c>
      <c r="G190" s="351" t="s">
        <v>682</v>
      </c>
      <c r="H190" s="351" t="s">
        <v>1756</v>
      </c>
      <c r="I190" s="351" t="s">
        <v>1757</v>
      </c>
      <c r="J190" s="351" t="s">
        <v>3888</v>
      </c>
      <c r="K190" s="354">
        <v>2931959</v>
      </c>
      <c r="L190" s="355">
        <v>2935825</v>
      </c>
      <c r="M190" s="354">
        <v>2772437</v>
      </c>
      <c r="N190" s="355">
        <v>2635143</v>
      </c>
      <c r="O190" s="355">
        <v>3036819</v>
      </c>
      <c r="P190" s="355">
        <v>3448832</v>
      </c>
      <c r="Q190" s="355">
        <v>3311481</v>
      </c>
      <c r="R190" s="355">
        <v>3407517</v>
      </c>
      <c r="S190" s="355">
        <v>3447170</v>
      </c>
      <c r="T190" s="355">
        <v>3263455</v>
      </c>
      <c r="U190" s="59">
        <f t="shared" si="19"/>
        <v>2635143</v>
      </c>
      <c r="V190" s="59">
        <f t="shared" si="20"/>
        <v>3448832</v>
      </c>
      <c r="W190" s="59">
        <f t="shared" si="21"/>
        <v>3119063.8</v>
      </c>
      <c r="X190" s="60">
        <f t="shared" si="22"/>
        <v>111.30629725722632</v>
      </c>
      <c r="AC190" s="53"/>
      <c r="AL190" s="65">
        <f>_xlfn.IFERROR(INDEX('Tabela PW'!$T:$T,'Słownik PW'!C190,1),"")</f>
        <v>3263455</v>
      </c>
    </row>
    <row r="191" spans="1:38" ht="15">
      <c r="A191" s="4" t="s">
        <v>191</v>
      </c>
      <c r="B191" s="5" t="s">
        <v>677</v>
      </c>
      <c r="C191" s="49" t="s">
        <v>205</v>
      </c>
      <c r="D191" s="349">
        <f t="shared" si="18"/>
        <v>39</v>
      </c>
      <c r="E191" s="350" t="s">
        <v>896</v>
      </c>
      <c r="F191" s="51" t="s">
        <v>154</v>
      </c>
      <c r="G191" s="351" t="s">
        <v>682</v>
      </c>
      <c r="H191" s="351" t="s">
        <v>1758</v>
      </c>
      <c r="I191" s="351" t="s">
        <v>1759</v>
      </c>
      <c r="J191" s="351" t="s">
        <v>3889</v>
      </c>
      <c r="K191" s="354">
        <v>7411211</v>
      </c>
      <c r="L191" s="355">
        <v>6681534</v>
      </c>
      <c r="M191" s="354">
        <v>6450532</v>
      </c>
      <c r="N191" s="355">
        <v>6656833</v>
      </c>
      <c r="O191" s="355">
        <v>7983446</v>
      </c>
      <c r="P191" s="355">
        <v>8649138</v>
      </c>
      <c r="Q191" s="355">
        <v>10196818</v>
      </c>
      <c r="R191" s="355">
        <v>10383425</v>
      </c>
      <c r="S191" s="355">
        <v>10722027</v>
      </c>
      <c r="T191" s="355">
        <v>10428239</v>
      </c>
      <c r="U191" s="59">
        <f t="shared" si="19"/>
        <v>6450532</v>
      </c>
      <c r="V191" s="59">
        <f t="shared" si="20"/>
        <v>10722027</v>
      </c>
      <c r="W191" s="59">
        <f t="shared" si="21"/>
        <v>8556320.3</v>
      </c>
      <c r="X191" s="60">
        <f t="shared" si="22"/>
        <v>140.70897455220205</v>
      </c>
      <c r="AC191" s="53"/>
      <c r="AL191" s="65">
        <f>_xlfn.IFERROR(INDEX('Tabela PW'!$T:$T,'Słownik PW'!C191,1),"")</f>
        <v>10428239</v>
      </c>
    </row>
    <row r="192" spans="1:38" ht="15">
      <c r="A192" s="4" t="s">
        <v>191</v>
      </c>
      <c r="B192" s="5" t="s">
        <v>677</v>
      </c>
      <c r="C192" s="49" t="s">
        <v>206</v>
      </c>
      <c r="D192" s="349">
        <f t="shared" si="18"/>
        <v>37</v>
      </c>
      <c r="E192" s="350" t="s">
        <v>897</v>
      </c>
      <c r="F192" s="51" t="s">
        <v>25</v>
      </c>
      <c r="G192" s="351" t="s">
        <v>683</v>
      </c>
      <c r="H192" s="351" t="s">
        <v>1760</v>
      </c>
      <c r="I192" s="351" t="s">
        <v>1761</v>
      </c>
      <c r="J192" s="351" t="s">
        <v>3890</v>
      </c>
      <c r="K192" s="354">
        <v>2422</v>
      </c>
      <c r="L192" s="355">
        <v>3861</v>
      </c>
      <c r="M192" s="354">
        <v>3413</v>
      </c>
      <c r="N192" s="355">
        <v>3888</v>
      </c>
      <c r="O192" s="355">
        <v>1453</v>
      </c>
      <c r="P192" s="355">
        <v>1482</v>
      </c>
      <c r="Q192" s="355">
        <v>1511</v>
      </c>
      <c r="R192" s="355">
        <v>1757</v>
      </c>
      <c r="S192" s="355">
        <v>1512</v>
      </c>
      <c r="T192" s="355">
        <v>1585</v>
      </c>
      <c r="U192" s="59">
        <f t="shared" si="19"/>
        <v>1453</v>
      </c>
      <c r="V192" s="59">
        <f t="shared" si="20"/>
        <v>3888</v>
      </c>
      <c r="W192" s="59">
        <f t="shared" si="21"/>
        <v>2288.4</v>
      </c>
      <c r="X192" s="60">
        <f t="shared" si="22"/>
        <v>65.44178364987614</v>
      </c>
      <c r="AC192" s="53"/>
      <c r="AL192" s="65">
        <f>_xlfn.IFERROR(INDEX('Tabela PW'!$T:$T,'Słownik PW'!C192,1),"")</f>
        <v>1585</v>
      </c>
    </row>
    <row r="193" spans="1:38" ht="15">
      <c r="A193" s="4" t="s">
        <v>207</v>
      </c>
      <c r="B193" s="5" t="s">
        <v>678</v>
      </c>
      <c r="C193" s="49" t="s">
        <v>208</v>
      </c>
      <c r="D193" s="349">
        <f t="shared" si="18"/>
        <v>80</v>
      </c>
      <c r="E193" s="350" t="s">
        <v>898</v>
      </c>
      <c r="F193" s="51" t="s">
        <v>25</v>
      </c>
      <c r="G193" s="351" t="s">
        <v>683</v>
      </c>
      <c r="H193" s="351" t="s">
        <v>1762</v>
      </c>
      <c r="I193" s="351" t="s">
        <v>1763</v>
      </c>
      <c r="J193" s="351" t="s">
        <v>3891</v>
      </c>
      <c r="K193" s="354">
        <v>881001</v>
      </c>
      <c r="L193" s="355">
        <v>894322</v>
      </c>
      <c r="M193" s="354">
        <v>847554</v>
      </c>
      <c r="N193" s="355">
        <v>881299</v>
      </c>
      <c r="O193" s="355">
        <v>880653</v>
      </c>
      <c r="P193" s="355">
        <v>873334</v>
      </c>
      <c r="Q193" s="355">
        <v>877417</v>
      </c>
      <c r="R193" s="355">
        <v>935716</v>
      </c>
      <c r="S193" s="355">
        <v>961489</v>
      </c>
      <c r="T193" s="355">
        <v>937781</v>
      </c>
      <c r="U193" s="59">
        <f t="shared" si="19"/>
        <v>847554</v>
      </c>
      <c r="V193" s="59">
        <f t="shared" si="20"/>
        <v>961489</v>
      </c>
      <c r="W193" s="59">
        <f t="shared" si="21"/>
        <v>897056.6</v>
      </c>
      <c r="X193" s="60">
        <f t="shared" si="22"/>
        <v>106.44494160619568</v>
      </c>
      <c r="AC193" s="53"/>
      <c r="AL193" s="65">
        <f>_xlfn.IFERROR(INDEX('Tabela PW'!$T:$T,'Słownik PW'!C193,1),"")</f>
        <v>937781</v>
      </c>
    </row>
    <row r="194" spans="1:38" ht="15">
      <c r="A194" s="4" t="s">
        <v>207</v>
      </c>
      <c r="B194" s="5" t="s">
        <v>678</v>
      </c>
      <c r="C194" s="49" t="s">
        <v>209</v>
      </c>
      <c r="D194" s="349">
        <f aca="true" t="shared" si="23" ref="D194:D257">LEN(C194)</f>
        <v>101</v>
      </c>
      <c r="E194" s="350" t="s">
        <v>899</v>
      </c>
      <c r="F194" s="51" t="s">
        <v>25</v>
      </c>
      <c r="G194" s="351" t="s">
        <v>683</v>
      </c>
      <c r="H194" s="351" t="s">
        <v>1764</v>
      </c>
      <c r="I194" s="351" t="s">
        <v>1765</v>
      </c>
      <c r="J194" s="351" t="s">
        <v>3892</v>
      </c>
      <c r="K194" s="354">
        <v>298754</v>
      </c>
      <c r="L194" s="355">
        <v>307369</v>
      </c>
      <c r="M194" s="354">
        <v>303940</v>
      </c>
      <c r="N194" s="355">
        <v>305843</v>
      </c>
      <c r="O194" s="355">
        <v>301082</v>
      </c>
      <c r="P194" s="355">
        <v>286408</v>
      </c>
      <c r="Q194" s="355">
        <v>303157</v>
      </c>
      <c r="R194" s="355">
        <v>300542</v>
      </c>
      <c r="S194" s="355">
        <v>274772</v>
      </c>
      <c r="T194" s="355">
        <v>331850</v>
      </c>
      <c r="U194" s="59">
        <f t="shared" si="19"/>
        <v>274772</v>
      </c>
      <c r="V194" s="59">
        <f t="shared" si="20"/>
        <v>331850</v>
      </c>
      <c r="W194" s="59">
        <f t="shared" si="21"/>
        <v>301371.7</v>
      </c>
      <c r="X194" s="60">
        <f t="shared" si="22"/>
        <v>111.07801067098684</v>
      </c>
      <c r="AC194" s="53"/>
      <c r="AL194" s="65">
        <f>_xlfn.IFERROR(INDEX('Tabela PW'!$T:$T,'Słownik PW'!C194,1),"")</f>
        <v>331850</v>
      </c>
    </row>
    <row r="195" spans="1:38" ht="15">
      <c r="A195" s="4" t="s">
        <v>207</v>
      </c>
      <c r="B195" s="5" t="s">
        <v>678</v>
      </c>
      <c r="C195" s="49" t="s">
        <v>210</v>
      </c>
      <c r="D195" s="349">
        <f t="shared" si="23"/>
        <v>16</v>
      </c>
      <c r="E195" s="350" t="s">
        <v>900</v>
      </c>
      <c r="F195" s="51" t="s">
        <v>25</v>
      </c>
      <c r="G195" s="351" t="s">
        <v>683</v>
      </c>
      <c r="H195" s="351" t="s">
        <v>1766</v>
      </c>
      <c r="I195" s="351" t="s">
        <v>1767</v>
      </c>
      <c r="J195" s="351" t="s">
        <v>3893</v>
      </c>
      <c r="K195" s="354">
        <v>3699782</v>
      </c>
      <c r="L195" s="355">
        <v>3755600</v>
      </c>
      <c r="M195" s="354">
        <v>3821802</v>
      </c>
      <c r="N195" s="355">
        <v>4105513</v>
      </c>
      <c r="O195" s="355">
        <v>4278384</v>
      </c>
      <c r="P195" s="355">
        <v>4399344</v>
      </c>
      <c r="Q195" s="355">
        <v>4643676</v>
      </c>
      <c r="R195" s="355">
        <v>4779031</v>
      </c>
      <c r="S195" s="355">
        <v>4856027</v>
      </c>
      <c r="T195" s="355">
        <v>4879733</v>
      </c>
      <c r="U195" s="59">
        <f aca="true" t="shared" si="24" ref="U195:U258">MIN(K195:T195)</f>
        <v>3699782</v>
      </c>
      <c r="V195" s="59">
        <f aca="true" t="shared" si="25" ref="V195:V258">MAX(K195:T195)</f>
        <v>4879733</v>
      </c>
      <c r="W195" s="59">
        <f aca="true" t="shared" si="26" ref="W195:W258">AVERAGE(K195:T195)</f>
        <v>4321889.2</v>
      </c>
      <c r="X195" s="60">
        <f aca="true" t="shared" si="27" ref="X195:X258">_xlfn.IFERROR(T195/K195*100,"-")</f>
        <v>131.89244663604504</v>
      </c>
      <c r="AC195" s="53"/>
      <c r="AL195" s="65">
        <f>_xlfn.IFERROR(INDEX('Tabela PW'!$T:$T,'Słownik PW'!C195,1),"")</f>
        <v>4879733</v>
      </c>
    </row>
    <row r="196" spans="1:38" ht="15">
      <c r="A196" s="4" t="s">
        <v>207</v>
      </c>
      <c r="B196" s="5" t="s">
        <v>678</v>
      </c>
      <c r="C196" s="49" t="s">
        <v>211</v>
      </c>
      <c r="D196" s="349">
        <f t="shared" si="23"/>
        <v>39</v>
      </c>
      <c r="E196" s="350" t="s">
        <v>901</v>
      </c>
      <c r="F196" s="51" t="s">
        <v>25</v>
      </c>
      <c r="G196" s="351" t="s">
        <v>683</v>
      </c>
      <c r="H196" s="351" t="s">
        <v>1768</v>
      </c>
      <c r="I196" s="351" t="s">
        <v>1769</v>
      </c>
      <c r="J196" s="351" t="s">
        <v>3894</v>
      </c>
      <c r="K196" s="354">
        <v>148982</v>
      </c>
      <c r="L196" s="355">
        <v>148733</v>
      </c>
      <c r="M196" s="354">
        <v>149429</v>
      </c>
      <c r="N196" s="355">
        <v>141695</v>
      </c>
      <c r="O196" s="355">
        <v>125376</v>
      </c>
      <c r="P196" s="355">
        <v>109759</v>
      </c>
      <c r="Q196" s="355">
        <v>112410</v>
      </c>
      <c r="R196" s="355">
        <v>85705</v>
      </c>
      <c r="S196" s="355">
        <v>53264</v>
      </c>
      <c r="T196" s="355">
        <v>63207</v>
      </c>
      <c r="U196" s="59">
        <f t="shared" si="24"/>
        <v>53264</v>
      </c>
      <c r="V196" s="59">
        <f t="shared" si="25"/>
        <v>149429</v>
      </c>
      <c r="W196" s="59">
        <f t="shared" si="26"/>
        <v>113856</v>
      </c>
      <c r="X196" s="60">
        <f t="shared" si="27"/>
        <v>42.42593064934019</v>
      </c>
      <c r="AC196" s="53"/>
      <c r="AL196" s="65">
        <f>_xlfn.IFERROR(INDEX('Tabela PW'!$T:$T,'Słownik PW'!C196,1),"")</f>
        <v>63207</v>
      </c>
    </row>
    <row r="197" spans="1:38" ht="15">
      <c r="A197" s="4" t="s">
        <v>207</v>
      </c>
      <c r="B197" s="5" t="s">
        <v>678</v>
      </c>
      <c r="C197" s="49" t="s">
        <v>212</v>
      </c>
      <c r="D197" s="349">
        <f t="shared" si="23"/>
        <v>47</v>
      </c>
      <c r="E197" s="350" t="s">
        <v>902</v>
      </c>
      <c r="F197" s="51" t="s">
        <v>25</v>
      </c>
      <c r="G197" s="351" t="s">
        <v>683</v>
      </c>
      <c r="H197" s="351" t="s">
        <v>1770</v>
      </c>
      <c r="I197" s="351" t="s">
        <v>1771</v>
      </c>
      <c r="J197" s="351" t="s">
        <v>3895</v>
      </c>
      <c r="K197" s="354">
        <v>710130</v>
      </c>
      <c r="L197" s="355">
        <v>694996</v>
      </c>
      <c r="M197" s="354">
        <v>715906</v>
      </c>
      <c r="N197" s="355">
        <v>720127</v>
      </c>
      <c r="O197" s="355">
        <v>730091</v>
      </c>
      <c r="P197" s="355">
        <v>714200</v>
      </c>
      <c r="Q197" s="355">
        <v>730471</v>
      </c>
      <c r="R197" s="355">
        <v>734461</v>
      </c>
      <c r="S197" s="355">
        <v>719727</v>
      </c>
      <c r="T197" s="355">
        <v>695106</v>
      </c>
      <c r="U197" s="59">
        <f t="shared" si="24"/>
        <v>694996</v>
      </c>
      <c r="V197" s="59">
        <f t="shared" si="25"/>
        <v>734461</v>
      </c>
      <c r="W197" s="59">
        <f t="shared" si="26"/>
        <v>716521.5</v>
      </c>
      <c r="X197" s="60">
        <f t="shared" si="27"/>
        <v>97.88433103797897</v>
      </c>
      <c r="AC197" s="53"/>
      <c r="AL197" s="65">
        <f>_xlfn.IFERROR(INDEX('Tabela PW'!$T:$T,'Słownik PW'!C197,1),"")</f>
        <v>695106</v>
      </c>
    </row>
    <row r="198" spans="1:38" ht="15">
      <c r="A198" s="4" t="s">
        <v>207</v>
      </c>
      <c r="B198" s="5" t="s">
        <v>678</v>
      </c>
      <c r="C198" s="49" t="s">
        <v>4380</v>
      </c>
      <c r="D198" s="349">
        <f t="shared" si="23"/>
        <v>136</v>
      </c>
      <c r="E198" s="350" t="s">
        <v>903</v>
      </c>
      <c r="F198" s="51" t="s">
        <v>25</v>
      </c>
      <c r="G198" s="351" t="s">
        <v>683</v>
      </c>
      <c r="H198" s="351" t="s">
        <v>1772</v>
      </c>
      <c r="I198" s="351" t="s">
        <v>1773</v>
      </c>
      <c r="J198" s="351" t="s">
        <v>3896</v>
      </c>
      <c r="K198" s="354">
        <v>706481</v>
      </c>
      <c r="L198" s="355">
        <v>691104</v>
      </c>
      <c r="M198" s="354">
        <v>711874</v>
      </c>
      <c r="N198" s="355">
        <v>719089</v>
      </c>
      <c r="O198" s="355">
        <v>728639</v>
      </c>
      <c r="P198" s="355">
        <v>711524</v>
      </c>
      <c r="Q198" s="355">
        <v>728772</v>
      </c>
      <c r="R198" s="355">
        <v>732687</v>
      </c>
      <c r="S198" s="355">
        <v>717445</v>
      </c>
      <c r="T198" s="355">
        <v>693010</v>
      </c>
      <c r="U198" s="59">
        <f t="shared" si="24"/>
        <v>691104</v>
      </c>
      <c r="V198" s="59">
        <f t="shared" si="25"/>
        <v>732687</v>
      </c>
      <c r="W198" s="59">
        <f t="shared" si="26"/>
        <v>714062.5</v>
      </c>
      <c r="X198" s="60">
        <f t="shared" si="27"/>
        <v>98.09322543706058</v>
      </c>
      <c r="AC198" s="53"/>
      <c r="AL198" s="65">
        <f>_xlfn.IFERROR(INDEX('Tabela PW'!$T:$T,'Słownik PW'!C198,1),"")</f>
        <v>693010</v>
      </c>
    </row>
    <row r="199" spans="1:38" ht="15">
      <c r="A199" s="4" t="s">
        <v>207</v>
      </c>
      <c r="B199" s="5" t="s">
        <v>678</v>
      </c>
      <c r="C199" s="49" t="s">
        <v>213</v>
      </c>
      <c r="D199" s="349">
        <f t="shared" si="23"/>
        <v>82</v>
      </c>
      <c r="E199" s="350" t="s">
        <v>904</v>
      </c>
      <c r="F199" s="51" t="s">
        <v>25</v>
      </c>
      <c r="G199" s="351" t="s">
        <v>683</v>
      </c>
      <c r="H199" s="351" t="s">
        <v>1774</v>
      </c>
      <c r="I199" s="351" t="s">
        <v>1775</v>
      </c>
      <c r="J199" s="351" t="s">
        <v>3897</v>
      </c>
      <c r="K199" s="354">
        <v>662240</v>
      </c>
      <c r="L199" s="355">
        <v>681299</v>
      </c>
      <c r="M199" s="354">
        <v>733362</v>
      </c>
      <c r="N199" s="355">
        <v>750974</v>
      </c>
      <c r="O199" s="355">
        <v>768924</v>
      </c>
      <c r="P199" s="355">
        <v>781114</v>
      </c>
      <c r="Q199" s="355">
        <v>768808</v>
      </c>
      <c r="R199" s="355">
        <v>834129</v>
      </c>
      <c r="S199" s="355">
        <v>925167</v>
      </c>
      <c r="T199" s="355">
        <v>631908</v>
      </c>
      <c r="U199" s="59">
        <f t="shared" si="24"/>
        <v>631908</v>
      </c>
      <c r="V199" s="59">
        <f t="shared" si="25"/>
        <v>925167</v>
      </c>
      <c r="W199" s="59">
        <f t="shared" si="26"/>
        <v>753792.5</v>
      </c>
      <c r="X199" s="60">
        <f t="shared" si="27"/>
        <v>95.41978738825804</v>
      </c>
      <c r="AC199" s="53"/>
      <c r="AL199" s="65">
        <f>_xlfn.IFERROR(INDEX('Tabela PW'!$T:$T,'Słownik PW'!C199,1),"")</f>
        <v>631908</v>
      </c>
    </row>
    <row r="200" spans="1:38" ht="15">
      <c r="A200" s="4" t="s">
        <v>207</v>
      </c>
      <c r="B200" s="5" t="s">
        <v>678</v>
      </c>
      <c r="C200" s="49" t="s">
        <v>214</v>
      </c>
      <c r="D200" s="349">
        <f t="shared" si="23"/>
        <v>41</v>
      </c>
      <c r="E200" s="350" t="s">
        <v>905</v>
      </c>
      <c r="F200" s="51" t="s">
        <v>25</v>
      </c>
      <c r="G200" s="351" t="s">
        <v>683</v>
      </c>
      <c r="H200" s="351" t="s">
        <v>1776</v>
      </c>
      <c r="I200" s="351" t="s">
        <v>1777</v>
      </c>
      <c r="J200" s="351" t="s">
        <v>3898</v>
      </c>
      <c r="K200" s="354">
        <v>178354</v>
      </c>
      <c r="L200" s="355">
        <v>187487</v>
      </c>
      <c r="M200" s="354">
        <v>178110</v>
      </c>
      <c r="N200" s="355">
        <v>180409</v>
      </c>
      <c r="O200" s="355">
        <v>178439</v>
      </c>
      <c r="P200" s="355">
        <v>153903</v>
      </c>
      <c r="Q200" s="355">
        <v>170102</v>
      </c>
      <c r="R200" s="355">
        <v>193063</v>
      </c>
      <c r="S200" s="355">
        <v>196086</v>
      </c>
      <c r="T200" s="355">
        <v>173688</v>
      </c>
      <c r="U200" s="59">
        <f t="shared" si="24"/>
        <v>153903</v>
      </c>
      <c r="V200" s="59">
        <f t="shared" si="25"/>
        <v>196086</v>
      </c>
      <c r="W200" s="59">
        <f t="shared" si="26"/>
        <v>178964.1</v>
      </c>
      <c r="X200" s="60">
        <f t="shared" si="27"/>
        <v>97.38385458133824</v>
      </c>
      <c r="AC200" s="53"/>
      <c r="AL200" s="65">
        <f>_xlfn.IFERROR(INDEX('Tabela PW'!$T:$T,'Słownik PW'!C200,1),"")</f>
        <v>173688</v>
      </c>
    </row>
    <row r="201" spans="1:38" ht="15">
      <c r="A201" s="4" t="s">
        <v>207</v>
      </c>
      <c r="B201" s="5" t="s">
        <v>678</v>
      </c>
      <c r="C201" s="49" t="s">
        <v>215</v>
      </c>
      <c r="D201" s="349">
        <f t="shared" si="23"/>
        <v>114</v>
      </c>
      <c r="E201" s="350" t="s">
        <v>906</v>
      </c>
      <c r="F201" s="51" t="s">
        <v>25</v>
      </c>
      <c r="G201" s="351" t="s">
        <v>683</v>
      </c>
      <c r="H201" s="351" t="s">
        <v>1778</v>
      </c>
      <c r="I201" s="351" t="s">
        <v>1779</v>
      </c>
      <c r="J201" s="351" t="s">
        <v>3899</v>
      </c>
      <c r="K201" s="354">
        <v>135532</v>
      </c>
      <c r="L201" s="355">
        <v>125961</v>
      </c>
      <c r="M201" s="354">
        <v>92854</v>
      </c>
      <c r="N201" s="355">
        <v>95692</v>
      </c>
      <c r="O201" s="355">
        <v>101745</v>
      </c>
      <c r="P201" s="355">
        <v>106991</v>
      </c>
      <c r="Q201" s="355">
        <v>108617</v>
      </c>
      <c r="R201" s="355">
        <v>130640</v>
      </c>
      <c r="S201" s="355">
        <v>126145</v>
      </c>
      <c r="T201" s="355">
        <v>122297</v>
      </c>
      <c r="U201" s="59">
        <f t="shared" si="24"/>
        <v>92854</v>
      </c>
      <c r="V201" s="59">
        <f t="shared" si="25"/>
        <v>135532</v>
      </c>
      <c r="W201" s="59">
        <f t="shared" si="26"/>
        <v>114647.4</v>
      </c>
      <c r="X201" s="60">
        <f t="shared" si="27"/>
        <v>90.23477850249387</v>
      </c>
      <c r="AC201" s="53"/>
      <c r="AL201" s="65">
        <f>_xlfn.IFERROR(INDEX('Tabela PW'!$T:$T,'Słownik PW'!C201,1),"")</f>
        <v>122297</v>
      </c>
    </row>
    <row r="202" spans="1:38" ht="15">
      <c r="A202" s="4" t="s">
        <v>207</v>
      </c>
      <c r="B202" s="5" t="s">
        <v>678</v>
      </c>
      <c r="C202" s="49" t="s">
        <v>216</v>
      </c>
      <c r="D202" s="349">
        <f t="shared" si="23"/>
        <v>15</v>
      </c>
      <c r="E202" s="350" t="s">
        <v>907</v>
      </c>
      <c r="F202" s="51" t="s">
        <v>25</v>
      </c>
      <c r="G202" s="351" t="s">
        <v>683</v>
      </c>
      <c r="H202" s="351" t="s">
        <v>1780</v>
      </c>
      <c r="I202" s="351" t="s">
        <v>1781</v>
      </c>
      <c r="J202" s="351" t="s">
        <v>3900</v>
      </c>
      <c r="K202" s="354">
        <v>1324119</v>
      </c>
      <c r="L202" s="355">
        <v>1527606</v>
      </c>
      <c r="M202" s="354">
        <v>1587606</v>
      </c>
      <c r="N202" s="355">
        <v>1702453</v>
      </c>
      <c r="O202" s="355">
        <v>1810990</v>
      </c>
      <c r="P202" s="355">
        <v>1933444</v>
      </c>
      <c r="Q202" s="355">
        <v>2039494</v>
      </c>
      <c r="R202" s="355">
        <v>2155839</v>
      </c>
      <c r="S202" s="355">
        <v>2286220</v>
      </c>
      <c r="T202" s="355">
        <v>2319499</v>
      </c>
      <c r="U202" s="59">
        <f t="shared" si="24"/>
        <v>1324119</v>
      </c>
      <c r="V202" s="59">
        <f t="shared" si="25"/>
        <v>2319499</v>
      </c>
      <c r="W202" s="59">
        <f t="shared" si="26"/>
        <v>1868727</v>
      </c>
      <c r="X202" s="60">
        <f t="shared" si="27"/>
        <v>175.17300182234376</v>
      </c>
      <c r="AC202" s="53"/>
      <c r="AL202" s="65">
        <f>_xlfn.IFERROR(INDEX('Tabela PW'!$T:$T,'Słownik PW'!C202,1),"")</f>
        <v>2319499</v>
      </c>
    </row>
    <row r="203" spans="1:38" ht="15">
      <c r="A203" s="4" t="s">
        <v>207</v>
      </c>
      <c r="B203" s="5" t="s">
        <v>678</v>
      </c>
      <c r="C203" s="49" t="s">
        <v>217</v>
      </c>
      <c r="D203" s="349">
        <f t="shared" si="23"/>
        <v>23</v>
      </c>
      <c r="E203" s="350" t="s">
        <v>908</v>
      </c>
      <c r="F203" s="51" t="s">
        <v>25</v>
      </c>
      <c r="G203" s="351" t="s">
        <v>683</v>
      </c>
      <c r="H203" s="351" t="s">
        <v>1782</v>
      </c>
      <c r="I203" s="351" t="s">
        <v>1783</v>
      </c>
      <c r="J203" s="351" t="s">
        <v>3901</v>
      </c>
      <c r="K203" s="354">
        <v>123681</v>
      </c>
      <c r="L203" s="355">
        <v>125815</v>
      </c>
      <c r="M203" s="354">
        <v>114661</v>
      </c>
      <c r="N203" s="355">
        <v>112599</v>
      </c>
      <c r="O203" s="355">
        <v>120712</v>
      </c>
      <c r="P203" s="355">
        <v>124463</v>
      </c>
      <c r="Q203" s="355">
        <v>130919</v>
      </c>
      <c r="R203" s="355">
        <v>157574</v>
      </c>
      <c r="S203" s="355">
        <v>171139</v>
      </c>
      <c r="T203" s="355">
        <v>188295</v>
      </c>
      <c r="U203" s="59">
        <f t="shared" si="24"/>
        <v>112599</v>
      </c>
      <c r="V203" s="59">
        <f t="shared" si="25"/>
        <v>188295</v>
      </c>
      <c r="W203" s="59">
        <f t="shared" si="26"/>
        <v>136985.8</v>
      </c>
      <c r="X203" s="60">
        <f t="shared" si="27"/>
        <v>152.24246246391928</v>
      </c>
      <c r="AC203" s="53"/>
      <c r="AL203" s="65">
        <f>_xlfn.IFERROR(INDEX('Tabela PW'!$T:$T,'Słownik PW'!C203,1),"")</f>
        <v>188295</v>
      </c>
    </row>
    <row r="204" spans="1:38" ht="15">
      <c r="A204" s="4" t="s">
        <v>207</v>
      </c>
      <c r="B204" s="5" t="s">
        <v>678</v>
      </c>
      <c r="C204" s="49" t="s">
        <v>4381</v>
      </c>
      <c r="D204" s="349">
        <f t="shared" si="23"/>
        <v>44</v>
      </c>
      <c r="E204" s="350" t="s">
        <v>909</v>
      </c>
      <c r="F204" s="51" t="s">
        <v>25</v>
      </c>
      <c r="G204" s="351" t="s">
        <v>683</v>
      </c>
      <c r="H204" s="351" t="s">
        <v>1784</v>
      </c>
      <c r="I204" s="351" t="s">
        <v>1785</v>
      </c>
      <c r="J204" s="351" t="s">
        <v>3902</v>
      </c>
      <c r="K204" s="354">
        <v>1666379</v>
      </c>
      <c r="L204" s="355">
        <v>1746555</v>
      </c>
      <c r="M204" s="354">
        <v>1863556</v>
      </c>
      <c r="N204" s="355">
        <v>2010252</v>
      </c>
      <c r="O204" s="355">
        <v>2185823</v>
      </c>
      <c r="P204" s="355">
        <v>2407858</v>
      </c>
      <c r="Q204" s="355">
        <v>2516101</v>
      </c>
      <c r="R204" s="355">
        <v>2835938</v>
      </c>
      <c r="S204" s="355">
        <v>2993027</v>
      </c>
      <c r="T204" s="355">
        <v>3326252</v>
      </c>
      <c r="U204" s="59">
        <f t="shared" si="24"/>
        <v>1666379</v>
      </c>
      <c r="V204" s="59">
        <f t="shared" si="25"/>
        <v>3326252</v>
      </c>
      <c r="W204" s="59">
        <f t="shared" si="26"/>
        <v>2355174.1</v>
      </c>
      <c r="X204" s="60">
        <f t="shared" si="27"/>
        <v>199.60957261223285</v>
      </c>
      <c r="AC204" s="53"/>
      <c r="AL204" s="65">
        <f>_xlfn.IFERROR(INDEX('Tabela PW'!$T:$T,'Słownik PW'!C204,1),"")</f>
        <v>3326252</v>
      </c>
    </row>
    <row r="205" spans="1:38" ht="15">
      <c r="A205" s="4" t="s">
        <v>207</v>
      </c>
      <c r="B205" s="5" t="s">
        <v>678</v>
      </c>
      <c r="C205" s="49" t="s">
        <v>218</v>
      </c>
      <c r="D205" s="349">
        <f t="shared" si="23"/>
        <v>16</v>
      </c>
      <c r="E205" s="350" t="s">
        <v>910</v>
      </c>
      <c r="F205" s="51" t="s">
        <v>25</v>
      </c>
      <c r="G205" s="351" t="s">
        <v>683</v>
      </c>
      <c r="H205" s="351" t="s">
        <v>1786</v>
      </c>
      <c r="I205" s="351" t="s">
        <v>1787</v>
      </c>
      <c r="J205" s="351" t="s">
        <v>3903</v>
      </c>
      <c r="K205" s="354">
        <v>255268</v>
      </c>
      <c r="L205" s="355">
        <v>267649</v>
      </c>
      <c r="M205" s="354">
        <v>297219</v>
      </c>
      <c r="N205" s="355">
        <v>298025</v>
      </c>
      <c r="O205" s="355">
        <v>304244</v>
      </c>
      <c r="P205" s="355">
        <v>330157</v>
      </c>
      <c r="Q205" s="355">
        <v>367750</v>
      </c>
      <c r="R205" s="355">
        <v>380819</v>
      </c>
      <c r="S205" s="355">
        <v>392656</v>
      </c>
      <c r="T205" s="355">
        <v>394927</v>
      </c>
      <c r="U205" s="59">
        <f t="shared" si="24"/>
        <v>255268</v>
      </c>
      <c r="V205" s="59">
        <f t="shared" si="25"/>
        <v>394927</v>
      </c>
      <c r="W205" s="59">
        <f t="shared" si="26"/>
        <v>328871.4</v>
      </c>
      <c r="X205" s="60">
        <f t="shared" si="27"/>
        <v>154.71073538398858</v>
      </c>
      <c r="AC205" s="53"/>
      <c r="AL205" s="65">
        <f>_xlfn.IFERROR(INDEX('Tabela PW'!$T:$T,'Słownik PW'!C205,1),"")</f>
        <v>394927</v>
      </c>
    </row>
    <row r="206" spans="1:38" ht="15">
      <c r="A206" s="4" t="s">
        <v>207</v>
      </c>
      <c r="B206" s="5" t="s">
        <v>678</v>
      </c>
      <c r="C206" s="49" t="s">
        <v>219</v>
      </c>
      <c r="D206" s="349">
        <f t="shared" si="23"/>
        <v>88</v>
      </c>
      <c r="E206" s="350" t="s">
        <v>911</v>
      </c>
      <c r="F206" s="51" t="s">
        <v>25</v>
      </c>
      <c r="G206" s="351" t="s">
        <v>683</v>
      </c>
      <c r="H206" s="351" t="s">
        <v>1788</v>
      </c>
      <c r="I206" s="351" t="s">
        <v>1789</v>
      </c>
      <c r="J206" s="351" t="s">
        <v>3904</v>
      </c>
      <c r="K206" s="354">
        <v>142832</v>
      </c>
      <c r="L206" s="355">
        <v>165980</v>
      </c>
      <c r="M206" s="354">
        <v>214446</v>
      </c>
      <c r="N206" s="355">
        <v>201893</v>
      </c>
      <c r="O206" s="355">
        <v>213968</v>
      </c>
      <c r="P206" s="355">
        <v>229381</v>
      </c>
      <c r="Q206" s="355">
        <v>238737</v>
      </c>
      <c r="R206" s="355">
        <v>245076</v>
      </c>
      <c r="S206" s="355">
        <v>234258</v>
      </c>
      <c r="T206" s="355">
        <v>233124</v>
      </c>
      <c r="U206" s="59">
        <f t="shared" si="24"/>
        <v>142832</v>
      </c>
      <c r="V206" s="59">
        <f t="shared" si="25"/>
        <v>245076</v>
      </c>
      <c r="W206" s="59">
        <f t="shared" si="26"/>
        <v>211969.5</v>
      </c>
      <c r="X206" s="60">
        <f t="shared" si="27"/>
        <v>163.21552593256413</v>
      </c>
      <c r="AC206" s="53"/>
      <c r="AL206" s="65">
        <f>_xlfn.IFERROR(INDEX('Tabela PW'!$T:$T,'Słownik PW'!C206,1),"")</f>
        <v>233124</v>
      </c>
    </row>
    <row r="207" spans="1:38" ht="15">
      <c r="A207" s="4" t="s">
        <v>220</v>
      </c>
      <c r="B207" s="5" t="s">
        <v>679</v>
      </c>
      <c r="C207" s="49" t="s">
        <v>221</v>
      </c>
      <c r="D207" s="349">
        <f t="shared" si="23"/>
        <v>4</v>
      </c>
      <c r="E207" s="350" t="s">
        <v>912</v>
      </c>
      <c r="F207" s="51" t="s">
        <v>25</v>
      </c>
      <c r="G207" s="351" t="s">
        <v>683</v>
      </c>
      <c r="H207" s="351" t="s">
        <v>1790</v>
      </c>
      <c r="I207" s="351" t="s">
        <v>1791</v>
      </c>
      <c r="J207" s="351" t="s">
        <v>3905</v>
      </c>
      <c r="K207" s="354">
        <v>9738013</v>
      </c>
      <c r="L207" s="355">
        <v>9376781</v>
      </c>
      <c r="M207" s="354">
        <v>8891044</v>
      </c>
      <c r="N207" s="355">
        <v>9359627</v>
      </c>
      <c r="O207" s="355">
        <v>9568135</v>
      </c>
      <c r="P207" s="355">
        <v>9791600</v>
      </c>
      <c r="Q207" s="355">
        <v>9707527</v>
      </c>
      <c r="R207" s="355">
        <v>9255797</v>
      </c>
      <c r="S207" s="355">
        <v>9341351</v>
      </c>
      <c r="T207" s="355">
        <v>8772173</v>
      </c>
      <c r="U207" s="59">
        <f t="shared" si="24"/>
        <v>8772173</v>
      </c>
      <c r="V207" s="59">
        <f t="shared" si="25"/>
        <v>9791600</v>
      </c>
      <c r="W207" s="59">
        <f t="shared" si="26"/>
        <v>9380204.8</v>
      </c>
      <c r="X207" s="60">
        <f t="shared" si="27"/>
        <v>90.08175487134798</v>
      </c>
      <c r="AC207" s="53"/>
      <c r="AL207" s="65">
        <f>_xlfn.IFERROR(INDEX('Tabela PW'!$T:$T,'Słownik PW'!C207,1),"")</f>
        <v>8772173</v>
      </c>
    </row>
    <row r="208" spans="1:38" ht="15">
      <c r="A208" s="4" t="s">
        <v>220</v>
      </c>
      <c r="B208" s="5" t="s">
        <v>679</v>
      </c>
      <c r="C208" s="49" t="s">
        <v>222</v>
      </c>
      <c r="D208" s="349">
        <f t="shared" si="23"/>
        <v>23</v>
      </c>
      <c r="E208" s="350" t="s">
        <v>913</v>
      </c>
      <c r="F208" s="51" t="s">
        <v>25</v>
      </c>
      <c r="G208" s="351" t="s">
        <v>683</v>
      </c>
      <c r="H208" s="351" t="s">
        <v>1792</v>
      </c>
      <c r="I208" s="351" t="s">
        <v>1793</v>
      </c>
      <c r="J208" s="351" t="s">
        <v>3906</v>
      </c>
      <c r="K208" s="354">
        <v>9738013</v>
      </c>
      <c r="L208" s="355">
        <v>9376781</v>
      </c>
      <c r="M208" s="354">
        <v>8891044</v>
      </c>
      <c r="N208" s="355">
        <v>9359627</v>
      </c>
      <c r="O208" s="355">
        <v>9568135</v>
      </c>
      <c r="P208" s="355">
        <v>9791600</v>
      </c>
      <c r="Q208" s="355">
        <v>9707527</v>
      </c>
      <c r="R208" s="355">
        <v>9255797</v>
      </c>
      <c r="S208" s="355">
        <v>9341351</v>
      </c>
      <c r="T208" s="355">
        <v>8772173</v>
      </c>
      <c r="U208" s="59">
        <f t="shared" si="24"/>
        <v>8772173</v>
      </c>
      <c r="V208" s="59">
        <f t="shared" si="25"/>
        <v>9791600</v>
      </c>
      <c r="W208" s="59">
        <f t="shared" si="26"/>
        <v>9380204.8</v>
      </c>
      <c r="X208" s="60">
        <f t="shared" si="27"/>
        <v>90.08175487134798</v>
      </c>
      <c r="AC208" s="53"/>
      <c r="AL208" s="65">
        <f>_xlfn.IFERROR(INDEX('Tabela PW'!$T:$T,'Słownik PW'!C208,1),"")</f>
        <v>8772173</v>
      </c>
    </row>
    <row r="209" spans="1:38" ht="15">
      <c r="A209" s="4" t="s">
        <v>220</v>
      </c>
      <c r="B209" s="5" t="s">
        <v>679</v>
      </c>
      <c r="C209" s="49" t="s">
        <v>223</v>
      </c>
      <c r="D209" s="349">
        <f t="shared" si="23"/>
        <v>18</v>
      </c>
      <c r="E209" s="350" t="s">
        <v>914</v>
      </c>
      <c r="F209" s="51" t="s">
        <v>25</v>
      </c>
      <c r="G209" s="351" t="s">
        <v>683</v>
      </c>
      <c r="H209" s="351" t="s">
        <v>1794</v>
      </c>
      <c r="I209" s="351" t="s">
        <v>1795</v>
      </c>
      <c r="J209" s="351" t="s">
        <v>3907</v>
      </c>
      <c r="K209" s="354">
        <v>7200371</v>
      </c>
      <c r="L209" s="355">
        <v>6416857</v>
      </c>
      <c r="M209" s="354">
        <v>5978570</v>
      </c>
      <c r="N209" s="355">
        <v>6526631</v>
      </c>
      <c r="O209" s="355">
        <v>6199070</v>
      </c>
      <c r="P209" s="355">
        <v>6461043</v>
      </c>
      <c r="Q209" s="355">
        <v>6411396</v>
      </c>
      <c r="R209" s="355">
        <v>6470106</v>
      </c>
      <c r="S209" s="355">
        <v>6669215</v>
      </c>
      <c r="T209" s="355">
        <v>6453534</v>
      </c>
      <c r="U209" s="59">
        <f t="shared" si="24"/>
        <v>5978570</v>
      </c>
      <c r="V209" s="59">
        <f t="shared" si="25"/>
        <v>7200371</v>
      </c>
      <c r="W209" s="59">
        <f t="shared" si="26"/>
        <v>6478679.3</v>
      </c>
      <c r="X209" s="60">
        <f t="shared" si="27"/>
        <v>89.62779834539081</v>
      </c>
      <c r="AC209" s="53"/>
      <c r="AL209" s="65">
        <f>_xlfn.IFERROR(INDEX('Tabela PW'!$T:$T,'Słownik PW'!C209,1),"")</f>
        <v>6453534</v>
      </c>
    </row>
    <row r="210" spans="1:38" ht="15">
      <c r="A210" s="4" t="s">
        <v>220</v>
      </c>
      <c r="B210" s="5" t="s">
        <v>679</v>
      </c>
      <c r="C210" s="49" t="s">
        <v>224</v>
      </c>
      <c r="D210" s="349">
        <f t="shared" si="23"/>
        <v>24</v>
      </c>
      <c r="E210" s="350" t="s">
        <v>915</v>
      </c>
      <c r="F210" s="51" t="s">
        <v>25</v>
      </c>
      <c r="G210" s="351" t="s">
        <v>683</v>
      </c>
      <c r="H210" s="351" t="s">
        <v>1796</v>
      </c>
      <c r="I210" s="351" t="s">
        <v>1797</v>
      </c>
      <c r="J210" s="351" t="s">
        <v>3908</v>
      </c>
      <c r="K210" s="354">
        <v>1791424</v>
      </c>
      <c r="L210" s="355">
        <v>2185716</v>
      </c>
      <c r="M210" s="354">
        <v>2074071</v>
      </c>
      <c r="N210" s="355">
        <v>2105330</v>
      </c>
      <c r="O210" s="355">
        <v>2564830</v>
      </c>
      <c r="P210" s="355">
        <v>2538997</v>
      </c>
      <c r="Q210" s="355">
        <v>2431465</v>
      </c>
      <c r="R210" s="355">
        <v>1972451</v>
      </c>
      <c r="S210" s="355">
        <v>1880956</v>
      </c>
      <c r="T210" s="355">
        <v>1608227</v>
      </c>
      <c r="U210" s="59">
        <f t="shared" si="24"/>
        <v>1608227</v>
      </c>
      <c r="V210" s="59">
        <f t="shared" si="25"/>
        <v>2564830</v>
      </c>
      <c r="W210" s="59">
        <f t="shared" si="26"/>
        <v>2115346.7</v>
      </c>
      <c r="X210" s="60">
        <f t="shared" si="27"/>
        <v>89.77366608910006</v>
      </c>
      <c r="AC210" s="53"/>
      <c r="AL210" s="65">
        <f>_xlfn.IFERROR(INDEX('Tabela PW'!$T:$T,'Słownik PW'!C210,1),"")</f>
        <v>1608227</v>
      </c>
    </row>
    <row r="211" spans="1:38" ht="15">
      <c r="A211" s="4" t="s">
        <v>220</v>
      </c>
      <c r="B211" s="5" t="s">
        <v>679</v>
      </c>
      <c r="C211" s="49" t="s">
        <v>225</v>
      </c>
      <c r="D211" s="349">
        <f t="shared" si="23"/>
        <v>96</v>
      </c>
      <c r="E211" s="350" t="s">
        <v>916</v>
      </c>
      <c r="F211" s="51" t="s">
        <v>25</v>
      </c>
      <c r="G211" s="351" t="s">
        <v>683</v>
      </c>
      <c r="H211" s="351" t="s">
        <v>1798</v>
      </c>
      <c r="I211" s="351" t="s">
        <v>1799</v>
      </c>
      <c r="J211" s="351" t="s">
        <v>3909</v>
      </c>
      <c r="K211" s="354">
        <v>446566</v>
      </c>
      <c r="L211" s="355">
        <v>405038</v>
      </c>
      <c r="M211" s="354">
        <v>373652</v>
      </c>
      <c r="N211" s="355">
        <v>393516</v>
      </c>
      <c r="O211" s="355">
        <v>383598</v>
      </c>
      <c r="P211" s="355">
        <v>378287</v>
      </c>
      <c r="Q211" s="355">
        <v>382823</v>
      </c>
      <c r="R211" s="355">
        <v>365235</v>
      </c>
      <c r="S211" s="355">
        <v>370297</v>
      </c>
      <c r="T211" s="355">
        <v>355224</v>
      </c>
      <c r="U211" s="59">
        <f t="shared" si="24"/>
        <v>355224</v>
      </c>
      <c r="V211" s="59">
        <f t="shared" si="25"/>
        <v>446566</v>
      </c>
      <c r="W211" s="59">
        <f t="shared" si="26"/>
        <v>385423.6</v>
      </c>
      <c r="X211" s="60">
        <f t="shared" si="27"/>
        <v>79.54568865520439</v>
      </c>
      <c r="AC211" s="53"/>
      <c r="AL211" s="65">
        <f>_xlfn.IFERROR(INDEX('Tabela PW'!$T:$T,'Słownik PW'!C211,1),"")</f>
        <v>355224</v>
      </c>
    </row>
    <row r="212" spans="1:38" ht="15">
      <c r="A212" s="4" t="s">
        <v>220</v>
      </c>
      <c r="B212" s="5" t="s">
        <v>679</v>
      </c>
      <c r="C212" s="49" t="s">
        <v>226</v>
      </c>
      <c r="D212" s="349">
        <f t="shared" si="23"/>
        <v>45</v>
      </c>
      <c r="E212" s="350" t="s">
        <v>917</v>
      </c>
      <c r="F212" s="51" t="s">
        <v>25</v>
      </c>
      <c r="G212" s="351" t="s">
        <v>683</v>
      </c>
      <c r="H212" s="351" t="s">
        <v>1800</v>
      </c>
      <c r="I212" s="351" t="s">
        <v>1801</v>
      </c>
      <c r="J212" s="351" t="s">
        <v>3910</v>
      </c>
      <c r="K212" s="354">
        <v>4222046</v>
      </c>
      <c r="L212" s="355">
        <v>3920816</v>
      </c>
      <c r="M212" s="354">
        <v>4027146</v>
      </c>
      <c r="N212" s="355">
        <v>4040301</v>
      </c>
      <c r="O212" s="355">
        <v>3848951</v>
      </c>
      <c r="P212" s="355">
        <v>4172444</v>
      </c>
      <c r="Q212" s="366">
        <v>4204528</v>
      </c>
      <c r="R212" s="355">
        <v>4188382</v>
      </c>
      <c r="S212" s="355">
        <v>4478936</v>
      </c>
      <c r="T212" s="355">
        <v>4603458</v>
      </c>
      <c r="U212" s="59">
        <f t="shared" si="24"/>
        <v>3848951</v>
      </c>
      <c r="V212" s="59">
        <f t="shared" si="25"/>
        <v>4603458</v>
      </c>
      <c r="W212" s="59">
        <f t="shared" si="26"/>
        <v>4170700.8</v>
      </c>
      <c r="X212" s="60">
        <f t="shared" si="27"/>
        <v>109.03381914834655</v>
      </c>
      <c r="AC212" s="53"/>
      <c r="AL212" s="65">
        <f>_xlfn.IFERROR(INDEX('Tabela PW'!$T:$T,'Słownik PW'!C212,1),"")</f>
        <v>4603458</v>
      </c>
    </row>
    <row r="213" spans="1:38" ht="15">
      <c r="A213" s="4" t="s">
        <v>220</v>
      </c>
      <c r="B213" s="5" t="s">
        <v>679</v>
      </c>
      <c r="C213" s="49" t="s">
        <v>227</v>
      </c>
      <c r="D213" s="349">
        <f t="shared" si="23"/>
        <v>30</v>
      </c>
      <c r="E213" s="350" t="s">
        <v>918</v>
      </c>
      <c r="F213" s="51" t="s">
        <v>25</v>
      </c>
      <c r="G213" s="351" t="s">
        <v>683</v>
      </c>
      <c r="H213" s="351" t="s">
        <v>1802</v>
      </c>
      <c r="I213" s="351" t="s">
        <v>1803</v>
      </c>
      <c r="J213" s="351" t="s">
        <v>3911</v>
      </c>
      <c r="K213" s="354">
        <v>4209569</v>
      </c>
      <c r="L213" s="355">
        <v>3903975</v>
      </c>
      <c r="M213" s="354">
        <v>4009126</v>
      </c>
      <c r="N213" s="355">
        <v>4021260</v>
      </c>
      <c r="O213" s="355">
        <v>3823134</v>
      </c>
      <c r="P213" s="355">
        <v>4144948</v>
      </c>
      <c r="Q213" s="355">
        <v>4177743</v>
      </c>
      <c r="R213" s="355">
        <v>4158911</v>
      </c>
      <c r="S213" s="355">
        <v>4446067</v>
      </c>
      <c r="T213" s="355">
        <v>4569536</v>
      </c>
      <c r="U213" s="59">
        <f t="shared" si="24"/>
        <v>3823134</v>
      </c>
      <c r="V213" s="59">
        <f t="shared" si="25"/>
        <v>4569536</v>
      </c>
      <c r="W213" s="59">
        <f t="shared" si="26"/>
        <v>4146426.9</v>
      </c>
      <c r="X213" s="60">
        <f t="shared" si="27"/>
        <v>108.55116046322082</v>
      </c>
      <c r="AC213" s="53"/>
      <c r="AL213" s="65">
        <f>_xlfn.IFERROR(INDEX('Tabela PW'!$T:$T,'Słownik PW'!C213,1),"")</f>
        <v>4569536</v>
      </c>
    </row>
    <row r="214" spans="1:38" ht="15">
      <c r="A214" s="4" t="s">
        <v>220</v>
      </c>
      <c r="B214" s="5" t="s">
        <v>679</v>
      </c>
      <c r="C214" s="49" t="s">
        <v>228</v>
      </c>
      <c r="D214" s="349">
        <f t="shared" si="23"/>
        <v>14</v>
      </c>
      <c r="E214" s="350" t="s">
        <v>919</v>
      </c>
      <c r="F214" s="51" t="s">
        <v>25</v>
      </c>
      <c r="G214" s="351" t="s">
        <v>683</v>
      </c>
      <c r="H214" s="351" t="s">
        <v>1804</v>
      </c>
      <c r="I214" s="351" t="s">
        <v>1805</v>
      </c>
      <c r="J214" s="351" t="s">
        <v>3912</v>
      </c>
      <c r="K214" s="354">
        <v>9892796</v>
      </c>
      <c r="L214" s="355">
        <v>10738855</v>
      </c>
      <c r="M214" s="354">
        <v>10927412</v>
      </c>
      <c r="N214" s="355">
        <v>10954439</v>
      </c>
      <c r="O214" s="355">
        <v>10725982</v>
      </c>
      <c r="P214" s="355">
        <v>11869549</v>
      </c>
      <c r="Q214" s="355">
        <v>11415924</v>
      </c>
      <c r="R214" s="355">
        <v>11701685</v>
      </c>
      <c r="S214" s="355">
        <v>13077281</v>
      </c>
      <c r="T214" s="355">
        <v>13414077</v>
      </c>
      <c r="U214" s="59">
        <f t="shared" si="24"/>
        <v>9892796</v>
      </c>
      <c r="V214" s="59">
        <f t="shared" si="25"/>
        <v>13414077</v>
      </c>
      <c r="W214" s="59">
        <f t="shared" si="26"/>
        <v>11471800</v>
      </c>
      <c r="X214" s="60">
        <f t="shared" si="27"/>
        <v>135.59439616464343</v>
      </c>
      <c r="AC214" s="53"/>
      <c r="AL214" s="65">
        <f>_xlfn.IFERROR(INDEX('Tabela PW'!$T:$T,'Słownik PW'!C214,1),"")</f>
        <v>13414077</v>
      </c>
    </row>
    <row r="215" spans="1:38" ht="15">
      <c r="A215" s="4" t="s">
        <v>220</v>
      </c>
      <c r="B215" s="5" t="s">
        <v>679</v>
      </c>
      <c r="C215" s="49" t="s">
        <v>229</v>
      </c>
      <c r="D215" s="349">
        <f t="shared" si="23"/>
        <v>84</v>
      </c>
      <c r="E215" s="350" t="s">
        <v>920</v>
      </c>
      <c r="F215" s="51" t="s">
        <v>25</v>
      </c>
      <c r="G215" s="351" t="s">
        <v>683</v>
      </c>
      <c r="H215" s="351" t="s">
        <v>1806</v>
      </c>
      <c r="I215" s="351" t="s">
        <v>1807</v>
      </c>
      <c r="J215" s="351" t="s">
        <v>3913</v>
      </c>
      <c r="K215" s="354">
        <v>9703503</v>
      </c>
      <c r="L215" s="355">
        <v>10613468</v>
      </c>
      <c r="M215" s="354">
        <v>10801800</v>
      </c>
      <c r="N215" s="355">
        <v>10789512</v>
      </c>
      <c r="O215" s="355">
        <v>10561674</v>
      </c>
      <c r="P215" s="355">
        <v>11789927</v>
      </c>
      <c r="Q215" s="355">
        <v>11340207</v>
      </c>
      <c r="R215" s="355">
        <v>11631009</v>
      </c>
      <c r="S215" s="355">
        <v>12750598</v>
      </c>
      <c r="T215" s="355">
        <v>13113088</v>
      </c>
      <c r="U215" s="59">
        <f t="shared" si="24"/>
        <v>9703503</v>
      </c>
      <c r="V215" s="59">
        <f t="shared" si="25"/>
        <v>13113088</v>
      </c>
      <c r="W215" s="59">
        <f t="shared" si="26"/>
        <v>11309478.6</v>
      </c>
      <c r="X215" s="60">
        <f t="shared" si="27"/>
        <v>135.13767141618857</v>
      </c>
      <c r="AC215" s="53"/>
      <c r="AL215" s="65">
        <f>_xlfn.IFERROR(INDEX('Tabela PW'!$T:$T,'Słownik PW'!C215,1),"")</f>
        <v>13113088</v>
      </c>
    </row>
    <row r="216" spans="1:38" ht="15">
      <c r="A216" s="4" t="s">
        <v>220</v>
      </c>
      <c r="B216" s="5" t="s">
        <v>679</v>
      </c>
      <c r="C216" s="49" t="s">
        <v>230</v>
      </c>
      <c r="D216" s="349">
        <f t="shared" si="23"/>
        <v>13</v>
      </c>
      <c r="E216" s="350" t="s">
        <v>921</v>
      </c>
      <c r="F216" s="51" t="s">
        <v>25</v>
      </c>
      <c r="G216" s="351" t="s">
        <v>683</v>
      </c>
      <c r="H216" s="351" t="s">
        <v>1808</v>
      </c>
      <c r="I216" s="351" t="s">
        <v>1809</v>
      </c>
      <c r="J216" s="351" t="s">
        <v>3914</v>
      </c>
      <c r="K216" s="354">
        <v>5587521</v>
      </c>
      <c r="L216" s="355">
        <v>5109682</v>
      </c>
      <c r="M216" s="354">
        <v>5841932</v>
      </c>
      <c r="N216" s="355">
        <v>5396917</v>
      </c>
      <c r="O216" s="355">
        <v>5409034</v>
      </c>
      <c r="P216" s="355">
        <v>4358895</v>
      </c>
      <c r="Q216" s="355">
        <v>4140229</v>
      </c>
      <c r="R216" s="355">
        <v>4176864</v>
      </c>
      <c r="S216" s="355">
        <v>3952392</v>
      </c>
      <c r="T216" s="355">
        <v>3458737</v>
      </c>
      <c r="U216" s="59">
        <f t="shared" si="24"/>
        <v>3458737</v>
      </c>
      <c r="V216" s="59">
        <f t="shared" si="25"/>
        <v>5841932</v>
      </c>
      <c r="W216" s="59">
        <f t="shared" si="26"/>
        <v>4743220.3</v>
      </c>
      <c r="X216" s="60">
        <f t="shared" si="27"/>
        <v>61.90110068490123</v>
      </c>
      <c r="AC216" s="53"/>
      <c r="AL216" s="65">
        <f>_xlfn.IFERROR(INDEX('Tabela PW'!$T:$T,'Słownik PW'!C216,1),"")</f>
        <v>3458737</v>
      </c>
    </row>
    <row r="217" spans="1:38" ht="15">
      <c r="A217" s="4" t="s">
        <v>220</v>
      </c>
      <c r="B217" s="5" t="s">
        <v>679</v>
      </c>
      <c r="C217" s="49" t="s">
        <v>231</v>
      </c>
      <c r="D217" s="349">
        <f t="shared" si="23"/>
        <v>7</v>
      </c>
      <c r="E217" s="350" t="s">
        <v>922</v>
      </c>
      <c r="F217" s="51" t="s">
        <v>25</v>
      </c>
      <c r="G217" s="351" t="s">
        <v>683</v>
      </c>
      <c r="H217" s="351" t="s">
        <v>1810</v>
      </c>
      <c r="I217" s="351" t="s">
        <v>1811</v>
      </c>
      <c r="J217" s="351" t="s">
        <v>3915</v>
      </c>
      <c r="K217" s="354">
        <v>1794988</v>
      </c>
      <c r="L217" s="355">
        <v>1941513</v>
      </c>
      <c r="M217" s="354">
        <v>1656422</v>
      </c>
      <c r="N217" s="355">
        <v>1374758</v>
      </c>
      <c r="O217" s="355">
        <v>1326785</v>
      </c>
      <c r="P217" s="355">
        <v>1628091</v>
      </c>
      <c r="Q217" s="355">
        <v>1452127</v>
      </c>
      <c r="R217" s="355">
        <v>1545616</v>
      </c>
      <c r="S217" s="355">
        <v>1663347</v>
      </c>
      <c r="T217" s="355">
        <v>1609947</v>
      </c>
      <c r="U217" s="59">
        <f t="shared" si="24"/>
        <v>1326785</v>
      </c>
      <c r="V217" s="59">
        <f t="shared" si="25"/>
        <v>1941513</v>
      </c>
      <c r="W217" s="59">
        <f t="shared" si="26"/>
        <v>1599359.4</v>
      </c>
      <c r="X217" s="60">
        <f t="shared" si="27"/>
        <v>89.691240275701</v>
      </c>
      <c r="AC217" s="53"/>
      <c r="AL217" s="65">
        <f>_xlfn.IFERROR(INDEX('Tabela PW'!$T:$T,'Słownik PW'!C217,1),"")</f>
        <v>1609947</v>
      </c>
    </row>
    <row r="218" spans="1:38" ht="15">
      <c r="A218" s="4" t="s">
        <v>232</v>
      </c>
      <c r="B218" s="5" t="s">
        <v>680</v>
      </c>
      <c r="C218" s="49" t="s">
        <v>233</v>
      </c>
      <c r="D218" s="349">
        <f t="shared" si="23"/>
        <v>12</v>
      </c>
      <c r="E218" s="350" t="s">
        <v>923</v>
      </c>
      <c r="F218" s="51" t="s">
        <v>25</v>
      </c>
      <c r="G218" s="351" t="s">
        <v>683</v>
      </c>
      <c r="H218" s="351" t="s">
        <v>1812</v>
      </c>
      <c r="I218" s="351" t="s">
        <v>1813</v>
      </c>
      <c r="J218" s="351" t="s">
        <v>3916</v>
      </c>
      <c r="K218" s="354">
        <v>9747</v>
      </c>
      <c r="L218" s="355">
        <v>11044</v>
      </c>
      <c r="M218" s="354">
        <v>9908</v>
      </c>
      <c r="N218" s="355">
        <v>13077</v>
      </c>
      <c r="O218" s="355">
        <v>12116</v>
      </c>
      <c r="P218" s="355">
        <v>12425</v>
      </c>
      <c r="Q218" s="355">
        <v>12668</v>
      </c>
      <c r="R218" s="355">
        <v>13049</v>
      </c>
      <c r="S218" s="355">
        <v>13258</v>
      </c>
      <c r="T218" s="355">
        <v>15461</v>
      </c>
      <c r="U218" s="59">
        <f t="shared" si="24"/>
        <v>9747</v>
      </c>
      <c r="V218" s="59">
        <f t="shared" si="25"/>
        <v>15461</v>
      </c>
      <c r="W218" s="59">
        <f t="shared" si="26"/>
        <v>12275.3</v>
      </c>
      <c r="X218" s="60">
        <f t="shared" si="27"/>
        <v>158.62316610239048</v>
      </c>
      <c r="AC218" s="53"/>
      <c r="AL218" s="65">
        <f>_xlfn.IFERROR(INDEX('Tabela PW'!$T:$T,'Słownik PW'!C218,1),"")</f>
        <v>15461</v>
      </c>
    </row>
    <row r="219" spans="1:38" ht="15">
      <c r="A219" s="4" t="s">
        <v>232</v>
      </c>
      <c r="B219" s="5" t="s">
        <v>680</v>
      </c>
      <c r="C219" s="49" t="s">
        <v>234</v>
      </c>
      <c r="D219" s="349">
        <f t="shared" si="23"/>
        <v>234</v>
      </c>
      <c r="E219" s="350" t="s">
        <v>924</v>
      </c>
      <c r="F219" s="51" t="s">
        <v>25</v>
      </c>
      <c r="G219" s="351" t="s">
        <v>683</v>
      </c>
      <c r="H219" s="351" t="s">
        <v>1814</v>
      </c>
      <c r="I219" s="351" t="s">
        <v>1815</v>
      </c>
      <c r="J219" s="351" t="s">
        <v>3917</v>
      </c>
      <c r="K219" s="354">
        <v>5722</v>
      </c>
      <c r="L219" s="355">
        <v>6228</v>
      </c>
      <c r="M219" s="354">
        <v>6184</v>
      </c>
      <c r="N219" s="355">
        <v>6828</v>
      </c>
      <c r="O219" s="355">
        <v>5823</v>
      </c>
      <c r="P219" s="355">
        <v>7462</v>
      </c>
      <c r="Q219" s="355">
        <v>8147</v>
      </c>
      <c r="R219" s="355">
        <v>8031</v>
      </c>
      <c r="S219" s="355">
        <v>8159</v>
      </c>
      <c r="T219" s="355">
        <v>9507</v>
      </c>
      <c r="U219" s="59">
        <f t="shared" si="24"/>
        <v>5722</v>
      </c>
      <c r="V219" s="59">
        <f t="shared" si="25"/>
        <v>9507</v>
      </c>
      <c r="W219" s="59">
        <f t="shared" si="26"/>
        <v>7209.1</v>
      </c>
      <c r="X219" s="60">
        <f t="shared" si="27"/>
        <v>166.14819993009436</v>
      </c>
      <c r="AC219" s="53"/>
      <c r="AL219" s="65">
        <f>_xlfn.IFERROR(INDEX('Tabela PW'!$T:$T,'Słownik PW'!C219,1),"")</f>
        <v>9507</v>
      </c>
    </row>
    <row r="220" spans="1:38" ht="15">
      <c r="A220" s="4" t="s">
        <v>232</v>
      </c>
      <c r="B220" s="5" t="s">
        <v>680</v>
      </c>
      <c r="C220" s="49" t="s">
        <v>235</v>
      </c>
      <c r="D220" s="349">
        <f t="shared" si="23"/>
        <v>44</v>
      </c>
      <c r="E220" s="350" t="s">
        <v>925</v>
      </c>
      <c r="F220" s="51" t="s">
        <v>236</v>
      </c>
      <c r="G220" s="351" t="s">
        <v>684</v>
      </c>
      <c r="H220" s="351" t="s">
        <v>1816</v>
      </c>
      <c r="I220" s="351" t="s">
        <v>1817</v>
      </c>
      <c r="J220" s="351" t="s">
        <v>3918</v>
      </c>
      <c r="K220" s="354">
        <v>3</v>
      </c>
      <c r="L220" s="355">
        <v>6</v>
      </c>
      <c r="M220" s="354">
        <v>3</v>
      </c>
      <c r="N220" s="355">
        <v>3</v>
      </c>
      <c r="O220" s="355">
        <v>2</v>
      </c>
      <c r="P220" s="355">
        <v>3</v>
      </c>
      <c r="Q220" s="355" t="s">
        <v>4569</v>
      </c>
      <c r="R220" s="355" t="s">
        <v>4569</v>
      </c>
      <c r="S220" s="355" t="s">
        <v>4569</v>
      </c>
      <c r="T220" s="355">
        <v>21</v>
      </c>
      <c r="U220" s="59">
        <f t="shared" si="24"/>
        <v>2</v>
      </c>
      <c r="V220" s="59">
        <f t="shared" si="25"/>
        <v>21</v>
      </c>
      <c r="W220" s="59">
        <f t="shared" si="26"/>
        <v>5.857142857142857</v>
      </c>
      <c r="X220" s="60">
        <f t="shared" si="27"/>
        <v>700</v>
      </c>
      <c r="AC220" s="53"/>
      <c r="AL220" s="65">
        <f>_xlfn.IFERROR(INDEX('Tabela PW'!$T:$T,'Słownik PW'!C220,1),"")</f>
        <v>21</v>
      </c>
    </row>
    <row r="221" spans="1:38" ht="15">
      <c r="A221" s="4" t="s">
        <v>232</v>
      </c>
      <c r="B221" s="5" t="s">
        <v>680</v>
      </c>
      <c r="C221" s="49" t="s">
        <v>237</v>
      </c>
      <c r="D221" s="349">
        <f t="shared" si="23"/>
        <v>125</v>
      </c>
      <c r="E221" s="350" t="s">
        <v>926</v>
      </c>
      <c r="F221" s="51" t="s">
        <v>25</v>
      </c>
      <c r="G221" s="351" t="s">
        <v>683</v>
      </c>
      <c r="H221" s="351" t="s">
        <v>1818</v>
      </c>
      <c r="I221" s="351" t="s">
        <v>1819</v>
      </c>
      <c r="J221" s="351" t="s">
        <v>3919</v>
      </c>
      <c r="K221" s="354">
        <v>41743</v>
      </c>
      <c r="L221" s="355">
        <v>39442</v>
      </c>
      <c r="M221" s="354">
        <v>39777</v>
      </c>
      <c r="N221" s="355">
        <v>38846</v>
      </c>
      <c r="O221" s="355">
        <v>39435</v>
      </c>
      <c r="P221" s="355">
        <v>35243</v>
      </c>
      <c r="Q221" s="355">
        <v>41190</v>
      </c>
      <c r="R221" s="355">
        <v>43534</v>
      </c>
      <c r="S221" s="355">
        <v>40190</v>
      </c>
      <c r="T221" s="355">
        <v>38010</v>
      </c>
      <c r="U221" s="59">
        <f t="shared" si="24"/>
        <v>35243</v>
      </c>
      <c r="V221" s="59">
        <f t="shared" si="25"/>
        <v>43534</v>
      </c>
      <c r="W221" s="59">
        <f t="shared" si="26"/>
        <v>39741</v>
      </c>
      <c r="X221" s="60">
        <f t="shared" si="27"/>
        <v>91.05718324030376</v>
      </c>
      <c r="AC221" s="53"/>
      <c r="AL221" s="65">
        <f>_xlfn.IFERROR(INDEX('Tabela PW'!$T:$T,'Słownik PW'!C221,1),"")</f>
        <v>38010</v>
      </c>
    </row>
    <row r="222" spans="1:38" ht="15">
      <c r="A222" s="4" t="s">
        <v>232</v>
      </c>
      <c r="B222" s="5" t="s">
        <v>680</v>
      </c>
      <c r="C222" s="49" t="s">
        <v>237</v>
      </c>
      <c r="D222" s="349">
        <f t="shared" si="23"/>
        <v>125</v>
      </c>
      <c r="E222" s="350" t="s">
        <v>927</v>
      </c>
      <c r="F222" s="51" t="s">
        <v>238</v>
      </c>
      <c r="G222" s="351" t="s">
        <v>664</v>
      </c>
      <c r="H222" s="351" t="s">
        <v>1820</v>
      </c>
      <c r="I222" s="351" t="s">
        <v>1821</v>
      </c>
      <c r="J222" s="351" t="s">
        <v>3920</v>
      </c>
      <c r="K222" s="354">
        <v>38705</v>
      </c>
      <c r="L222" s="355">
        <v>36611</v>
      </c>
      <c r="M222" s="354">
        <v>36788</v>
      </c>
      <c r="N222" s="355">
        <v>35785</v>
      </c>
      <c r="O222" s="355">
        <v>36207</v>
      </c>
      <c r="P222" s="355">
        <v>32415</v>
      </c>
      <c r="Q222" s="355">
        <v>37966</v>
      </c>
      <c r="R222" s="355">
        <v>40084</v>
      </c>
      <c r="S222" s="355">
        <v>36981</v>
      </c>
      <c r="T222" s="355">
        <v>35154</v>
      </c>
      <c r="U222" s="59">
        <f t="shared" si="24"/>
        <v>32415</v>
      </c>
      <c r="V222" s="59">
        <f t="shared" si="25"/>
        <v>40084</v>
      </c>
      <c r="W222" s="59">
        <f t="shared" si="26"/>
        <v>36669.6</v>
      </c>
      <c r="X222" s="60">
        <f t="shared" si="27"/>
        <v>90.825474744865</v>
      </c>
      <c r="AC222" s="53"/>
      <c r="AL222" s="65">
        <f>_xlfn.IFERROR(INDEX('Tabela PW'!$T:$T,'Słownik PW'!C222,1),"")</f>
        <v>35154</v>
      </c>
    </row>
    <row r="223" spans="1:38" ht="15">
      <c r="A223" s="4" t="s">
        <v>232</v>
      </c>
      <c r="B223" s="5" t="s">
        <v>680</v>
      </c>
      <c r="C223" s="49" t="s">
        <v>239</v>
      </c>
      <c r="D223" s="349">
        <f t="shared" si="23"/>
        <v>5</v>
      </c>
      <c r="E223" s="350" t="s">
        <v>928</v>
      </c>
      <c r="F223" s="51" t="s">
        <v>240</v>
      </c>
      <c r="G223" s="351" t="s">
        <v>688</v>
      </c>
      <c r="H223" s="351" t="s">
        <v>1822</v>
      </c>
      <c r="I223" s="351" t="s">
        <v>1823</v>
      </c>
      <c r="J223" s="351" t="s">
        <v>3921</v>
      </c>
      <c r="K223" s="354">
        <v>275926</v>
      </c>
      <c r="L223" s="355">
        <v>279862</v>
      </c>
      <c r="M223" s="354">
        <v>295790</v>
      </c>
      <c r="N223" s="355">
        <v>267509</v>
      </c>
      <c r="O223" s="355">
        <v>253002</v>
      </c>
      <c r="P223" s="355">
        <v>281762</v>
      </c>
      <c r="Q223" s="355">
        <v>268851</v>
      </c>
      <c r="R223" s="355">
        <v>297749</v>
      </c>
      <c r="S223" s="355">
        <v>290173</v>
      </c>
      <c r="T223" s="355">
        <v>293056</v>
      </c>
      <c r="U223" s="59">
        <f t="shared" si="24"/>
        <v>253002</v>
      </c>
      <c r="V223" s="59">
        <f t="shared" si="25"/>
        <v>297749</v>
      </c>
      <c r="W223" s="59">
        <f t="shared" si="26"/>
        <v>280368</v>
      </c>
      <c r="X223" s="60">
        <f t="shared" si="27"/>
        <v>106.2081862528359</v>
      </c>
      <c r="AC223" s="53"/>
      <c r="AL223" s="65">
        <f>_xlfn.IFERROR(INDEX('Tabela PW'!$T:$T,'Słownik PW'!C223,1),"")</f>
        <v>293056</v>
      </c>
    </row>
    <row r="224" spans="1:38" ht="15">
      <c r="A224" s="4" t="s">
        <v>232</v>
      </c>
      <c r="B224" s="5" t="s">
        <v>680</v>
      </c>
      <c r="C224" s="49" t="s">
        <v>241</v>
      </c>
      <c r="D224" s="349">
        <f t="shared" si="23"/>
        <v>21</v>
      </c>
      <c r="E224" s="350" t="s">
        <v>929</v>
      </c>
      <c r="F224" s="51" t="s">
        <v>242</v>
      </c>
      <c r="G224" s="351" t="s">
        <v>690</v>
      </c>
      <c r="H224" s="351" t="s">
        <v>1824</v>
      </c>
      <c r="I224" s="351" t="s">
        <v>1825</v>
      </c>
      <c r="J224" s="351" t="s">
        <v>3922</v>
      </c>
      <c r="K224" s="354">
        <v>76741</v>
      </c>
      <c r="L224" s="355">
        <v>84558</v>
      </c>
      <c r="M224" s="354">
        <v>74855</v>
      </c>
      <c r="N224" s="355">
        <v>44949</v>
      </c>
      <c r="O224" s="355">
        <v>41078</v>
      </c>
      <c r="P224" s="355">
        <v>36449</v>
      </c>
      <c r="Q224" s="355">
        <v>43010</v>
      </c>
      <c r="R224" s="355">
        <v>44610</v>
      </c>
      <c r="S224" s="355">
        <v>48084</v>
      </c>
      <c r="T224" s="355">
        <v>50725</v>
      </c>
      <c r="U224" s="59">
        <f t="shared" si="24"/>
        <v>36449</v>
      </c>
      <c r="V224" s="59">
        <f t="shared" si="25"/>
        <v>84558</v>
      </c>
      <c r="W224" s="59">
        <f t="shared" si="26"/>
        <v>54505.9</v>
      </c>
      <c r="X224" s="60">
        <f t="shared" si="27"/>
        <v>66.09895622939497</v>
      </c>
      <c r="AC224" s="53"/>
      <c r="AL224" s="65">
        <f>_xlfn.IFERROR(INDEX('Tabela PW'!$T:$T,'Słownik PW'!C224,1),"")</f>
        <v>50725</v>
      </c>
    </row>
    <row r="225" spans="1:38" ht="15">
      <c r="A225" s="4" t="s">
        <v>232</v>
      </c>
      <c r="B225" s="5" t="s">
        <v>680</v>
      </c>
      <c r="C225" s="49" t="s">
        <v>243</v>
      </c>
      <c r="D225" s="349">
        <f t="shared" si="23"/>
        <v>13</v>
      </c>
      <c r="E225" s="350" t="s">
        <v>930</v>
      </c>
      <c r="F225" s="51" t="s">
        <v>244</v>
      </c>
      <c r="G225" s="351" t="s">
        <v>689</v>
      </c>
      <c r="H225" s="351" t="s">
        <v>1826</v>
      </c>
      <c r="I225" s="351" t="s">
        <v>1827</v>
      </c>
      <c r="J225" s="351" t="s">
        <v>3923</v>
      </c>
      <c r="K225" s="354">
        <v>1685809</v>
      </c>
      <c r="L225" s="355">
        <v>1888870</v>
      </c>
      <c r="M225" s="354">
        <v>1692994</v>
      </c>
      <c r="N225" s="355">
        <v>1461791</v>
      </c>
      <c r="O225" s="355">
        <v>1550140</v>
      </c>
      <c r="P225" s="355">
        <v>1701220</v>
      </c>
      <c r="Q225" s="355">
        <v>1636664</v>
      </c>
      <c r="R225" s="355">
        <v>1713322</v>
      </c>
      <c r="S225" s="355">
        <v>1633187</v>
      </c>
      <c r="T225" s="355">
        <v>1655456</v>
      </c>
      <c r="U225" s="59">
        <f t="shared" si="24"/>
        <v>1461791</v>
      </c>
      <c r="V225" s="59">
        <f t="shared" si="25"/>
        <v>1888870</v>
      </c>
      <c r="W225" s="59">
        <f t="shared" si="26"/>
        <v>1661945.3</v>
      </c>
      <c r="X225" s="60">
        <f t="shared" si="27"/>
        <v>98.19949946880104</v>
      </c>
      <c r="AC225" s="53"/>
      <c r="AL225" s="65">
        <f>_xlfn.IFERROR(INDEX('Tabela PW'!$T:$T,'Słownik PW'!C225,1),"")</f>
        <v>1655456</v>
      </c>
    </row>
    <row r="226" spans="1:38" ht="15">
      <c r="A226" s="4" t="s">
        <v>232</v>
      </c>
      <c r="B226" s="5" t="s">
        <v>680</v>
      </c>
      <c r="C226" s="49" t="s">
        <v>245</v>
      </c>
      <c r="D226" s="349">
        <f t="shared" si="23"/>
        <v>5</v>
      </c>
      <c r="E226" s="350" t="s">
        <v>931</v>
      </c>
      <c r="F226" s="51" t="s">
        <v>244</v>
      </c>
      <c r="G226" s="351" t="s">
        <v>689</v>
      </c>
      <c r="H226" s="351" t="s">
        <v>1828</v>
      </c>
      <c r="I226" s="351" t="s">
        <v>1829</v>
      </c>
      <c r="J226" s="351" t="s">
        <v>3924</v>
      </c>
      <c r="K226" s="354">
        <v>214582</v>
      </c>
      <c r="L226" s="355">
        <v>219328</v>
      </c>
      <c r="M226" s="354">
        <v>217448</v>
      </c>
      <c r="N226" s="355">
        <v>217792</v>
      </c>
      <c r="O226" s="355">
        <v>221132</v>
      </c>
      <c r="P226" s="355">
        <v>215653</v>
      </c>
      <c r="Q226" s="355">
        <v>225142</v>
      </c>
      <c r="R226" s="355">
        <v>229245</v>
      </c>
      <c r="S226" s="355">
        <v>230282</v>
      </c>
      <c r="T226" s="355">
        <v>230804</v>
      </c>
      <c r="U226" s="59">
        <f t="shared" si="24"/>
        <v>214582</v>
      </c>
      <c r="V226" s="59">
        <f t="shared" si="25"/>
        <v>230804</v>
      </c>
      <c r="W226" s="59">
        <f t="shared" si="26"/>
        <v>222140.8</v>
      </c>
      <c r="X226" s="60">
        <f t="shared" si="27"/>
        <v>107.55981396389258</v>
      </c>
      <c r="AC226" s="53"/>
      <c r="AL226" s="65">
        <f>_xlfn.IFERROR(INDEX('Tabela PW'!$T:$T,'Słownik PW'!C226,1),"")</f>
        <v>230804</v>
      </c>
    </row>
    <row r="227" spans="1:38" ht="15">
      <c r="A227" s="4" t="s">
        <v>232</v>
      </c>
      <c r="B227" s="5" t="s">
        <v>680</v>
      </c>
      <c r="C227" s="49" t="s">
        <v>246</v>
      </c>
      <c r="D227" s="349">
        <f t="shared" si="23"/>
        <v>35</v>
      </c>
      <c r="E227" s="350" t="s">
        <v>932</v>
      </c>
      <c r="F227" s="51" t="s">
        <v>247</v>
      </c>
      <c r="G227" s="351" t="s">
        <v>697</v>
      </c>
      <c r="H227" s="351" t="s">
        <v>1830</v>
      </c>
      <c r="I227" s="351" t="s">
        <v>1831</v>
      </c>
      <c r="J227" s="351" t="s">
        <v>3925</v>
      </c>
      <c r="K227" s="354">
        <v>293353</v>
      </c>
      <c r="L227" s="355">
        <v>320432</v>
      </c>
      <c r="M227" s="354">
        <v>271415</v>
      </c>
      <c r="N227" s="355">
        <v>224310</v>
      </c>
      <c r="O227" s="355">
        <v>254091</v>
      </c>
      <c r="P227" s="355">
        <v>285480</v>
      </c>
      <c r="Q227" s="355">
        <v>291709</v>
      </c>
      <c r="R227" s="355">
        <v>303724</v>
      </c>
      <c r="S227" s="355">
        <v>276417</v>
      </c>
      <c r="T227" s="355">
        <v>296350</v>
      </c>
      <c r="U227" s="59">
        <f t="shared" si="24"/>
        <v>224310</v>
      </c>
      <c r="V227" s="59">
        <f t="shared" si="25"/>
        <v>320432</v>
      </c>
      <c r="W227" s="59">
        <f t="shared" si="26"/>
        <v>281728.1</v>
      </c>
      <c r="X227" s="60">
        <f t="shared" si="27"/>
        <v>101.02163604940124</v>
      </c>
      <c r="AC227" s="53"/>
      <c r="AL227" s="65">
        <f>_xlfn.IFERROR(INDEX('Tabela PW'!$T:$T,'Słownik PW'!C227,1),"")</f>
        <v>296350</v>
      </c>
    </row>
    <row r="228" spans="1:38" ht="15">
      <c r="A228" s="4" t="s">
        <v>232</v>
      </c>
      <c r="B228" s="5" t="s">
        <v>680</v>
      </c>
      <c r="C228" s="49" t="s">
        <v>248</v>
      </c>
      <c r="D228" s="349">
        <f t="shared" si="23"/>
        <v>42</v>
      </c>
      <c r="E228" s="350" t="s">
        <v>933</v>
      </c>
      <c r="F228" s="51" t="s">
        <v>25</v>
      </c>
      <c r="G228" s="351" t="s">
        <v>683</v>
      </c>
      <c r="H228" s="351" t="s">
        <v>1832</v>
      </c>
      <c r="I228" s="351" t="s">
        <v>1833</v>
      </c>
      <c r="J228" s="351" t="s">
        <v>3926</v>
      </c>
      <c r="K228" s="354">
        <v>51951</v>
      </c>
      <c r="L228" s="355">
        <v>58112</v>
      </c>
      <c r="M228" s="354">
        <v>73569</v>
      </c>
      <c r="N228" s="355">
        <v>77496</v>
      </c>
      <c r="O228" s="355">
        <v>75022</v>
      </c>
      <c r="P228" s="355">
        <v>61803</v>
      </c>
      <c r="Q228" s="355">
        <v>65093</v>
      </c>
      <c r="R228" s="355">
        <v>75837</v>
      </c>
      <c r="S228" s="355">
        <v>57302</v>
      </c>
      <c r="T228" s="355">
        <v>65162</v>
      </c>
      <c r="U228" s="59">
        <f t="shared" si="24"/>
        <v>51951</v>
      </c>
      <c r="V228" s="59">
        <f t="shared" si="25"/>
        <v>77496</v>
      </c>
      <c r="W228" s="59">
        <f t="shared" si="26"/>
        <v>66134.7</v>
      </c>
      <c r="X228" s="60">
        <f t="shared" si="27"/>
        <v>125.42973186271679</v>
      </c>
      <c r="AC228" s="53"/>
      <c r="AL228" s="65">
        <f>_xlfn.IFERROR(INDEX('Tabela PW'!$T:$T,'Słownik PW'!C228,1),"")</f>
        <v>65162</v>
      </c>
    </row>
    <row r="229" spans="1:38" ht="15">
      <c r="A229" s="4" t="s">
        <v>232</v>
      </c>
      <c r="B229" s="5" t="s">
        <v>680</v>
      </c>
      <c r="C229" s="49" t="s">
        <v>248</v>
      </c>
      <c r="D229" s="349">
        <f t="shared" si="23"/>
        <v>42</v>
      </c>
      <c r="E229" s="350" t="s">
        <v>934</v>
      </c>
      <c r="F229" s="51" t="s">
        <v>249</v>
      </c>
      <c r="G229" s="351" t="s">
        <v>666</v>
      </c>
      <c r="H229" s="351" t="s">
        <v>1834</v>
      </c>
      <c r="I229" s="351" t="s">
        <v>1835</v>
      </c>
      <c r="J229" s="351" t="s">
        <v>3927</v>
      </c>
      <c r="K229" s="354">
        <v>53244</v>
      </c>
      <c r="L229" s="355">
        <v>59392</v>
      </c>
      <c r="M229" s="354">
        <v>75327</v>
      </c>
      <c r="N229" s="355">
        <v>79591</v>
      </c>
      <c r="O229" s="355">
        <v>76780</v>
      </c>
      <c r="P229" s="355">
        <v>63290</v>
      </c>
      <c r="Q229" s="355">
        <v>66446</v>
      </c>
      <c r="R229" s="355">
        <v>77403</v>
      </c>
      <c r="S229" s="355">
        <v>58496</v>
      </c>
      <c r="T229" s="355">
        <v>66520</v>
      </c>
      <c r="U229" s="59">
        <f t="shared" si="24"/>
        <v>53244</v>
      </c>
      <c r="V229" s="59">
        <f t="shared" si="25"/>
        <v>79591</v>
      </c>
      <c r="W229" s="59">
        <f t="shared" si="26"/>
        <v>67648.9</v>
      </c>
      <c r="X229" s="60">
        <f t="shared" si="27"/>
        <v>124.93426489369695</v>
      </c>
      <c r="AC229" s="53"/>
      <c r="AL229" s="65">
        <f>_xlfn.IFERROR(INDEX('Tabela PW'!$T:$T,'Słownik PW'!C229,1),"")</f>
        <v>66520</v>
      </c>
    </row>
    <row r="230" spans="1:38" ht="15">
      <c r="A230" s="4" t="s">
        <v>232</v>
      </c>
      <c r="B230" s="5" t="s">
        <v>680</v>
      </c>
      <c r="C230" s="49" t="s">
        <v>248</v>
      </c>
      <c r="D230" s="349">
        <f t="shared" si="23"/>
        <v>42</v>
      </c>
      <c r="E230" s="350" t="s">
        <v>935</v>
      </c>
      <c r="F230" s="51" t="s">
        <v>250</v>
      </c>
      <c r="G230" s="351" t="s">
        <v>695</v>
      </c>
      <c r="H230" s="351" t="s">
        <v>1836</v>
      </c>
      <c r="I230" s="351" t="s">
        <v>1837</v>
      </c>
      <c r="J230" s="351" t="s">
        <v>3928</v>
      </c>
      <c r="K230" s="354">
        <v>51113</v>
      </c>
      <c r="L230" s="355">
        <v>57019</v>
      </c>
      <c r="M230" s="354">
        <v>72317</v>
      </c>
      <c r="N230" s="355">
        <v>76408</v>
      </c>
      <c r="O230" s="355">
        <v>73695</v>
      </c>
      <c r="P230" s="355">
        <v>60734</v>
      </c>
      <c r="Q230" s="355">
        <v>63772</v>
      </c>
      <c r="R230" s="355">
        <v>74307</v>
      </c>
      <c r="S230" s="355">
        <v>56156</v>
      </c>
      <c r="T230" s="355">
        <v>63859</v>
      </c>
      <c r="U230" s="59">
        <f t="shared" si="24"/>
        <v>51113</v>
      </c>
      <c r="V230" s="59">
        <f t="shared" si="25"/>
        <v>76408</v>
      </c>
      <c r="W230" s="59">
        <f t="shared" si="26"/>
        <v>64938</v>
      </c>
      <c r="X230" s="60">
        <f t="shared" si="27"/>
        <v>124.93690450570305</v>
      </c>
      <c r="AC230" s="53"/>
      <c r="AL230" s="65">
        <f>_xlfn.IFERROR(INDEX('Tabela PW'!$T:$T,'Słownik PW'!C230,1),"")</f>
        <v>63859</v>
      </c>
    </row>
    <row r="231" spans="1:38" ht="15">
      <c r="A231" s="4" t="s">
        <v>232</v>
      </c>
      <c r="B231" s="5" t="s">
        <v>680</v>
      </c>
      <c r="C231" s="49" t="s">
        <v>251</v>
      </c>
      <c r="D231" s="349">
        <f t="shared" si="23"/>
        <v>76</v>
      </c>
      <c r="E231" s="350" t="s">
        <v>936</v>
      </c>
      <c r="F231" s="51" t="s">
        <v>25</v>
      </c>
      <c r="G231" s="351" t="s">
        <v>683</v>
      </c>
      <c r="H231" s="351" t="s">
        <v>1838</v>
      </c>
      <c r="I231" s="351" t="s">
        <v>1839</v>
      </c>
      <c r="J231" s="351" t="s">
        <v>3929</v>
      </c>
      <c r="K231" s="354">
        <v>558287</v>
      </c>
      <c r="L231" s="355">
        <v>770257</v>
      </c>
      <c r="M231" s="354">
        <v>801495</v>
      </c>
      <c r="N231" s="355">
        <v>830019</v>
      </c>
      <c r="O231" s="355">
        <v>774604</v>
      </c>
      <c r="P231" s="355">
        <v>904784</v>
      </c>
      <c r="Q231" s="355">
        <v>814004</v>
      </c>
      <c r="R231" s="355">
        <v>909546</v>
      </c>
      <c r="S231" s="355">
        <v>871409</v>
      </c>
      <c r="T231" s="355">
        <v>860509</v>
      </c>
      <c r="U231" s="59">
        <f t="shared" si="24"/>
        <v>558287</v>
      </c>
      <c r="V231" s="59">
        <f t="shared" si="25"/>
        <v>909546</v>
      </c>
      <c r="W231" s="59">
        <f t="shared" si="26"/>
        <v>809491.4</v>
      </c>
      <c r="X231" s="60">
        <f t="shared" si="27"/>
        <v>154.13380573074423</v>
      </c>
      <c r="AC231" s="53"/>
      <c r="AL231" s="65">
        <f>_xlfn.IFERROR(INDEX('Tabela PW'!$T:$T,'Słownik PW'!C231,1),"")</f>
        <v>860509</v>
      </c>
    </row>
    <row r="232" spans="1:38" ht="15">
      <c r="A232" s="4" t="s">
        <v>232</v>
      </c>
      <c r="B232" s="5" t="s">
        <v>680</v>
      </c>
      <c r="C232" s="49" t="s">
        <v>251</v>
      </c>
      <c r="D232" s="349">
        <f t="shared" si="23"/>
        <v>76</v>
      </c>
      <c r="E232" s="350" t="s">
        <v>937</v>
      </c>
      <c r="F232" s="51" t="s">
        <v>249</v>
      </c>
      <c r="G232" s="351" t="s">
        <v>666</v>
      </c>
      <c r="H232" s="351" t="s">
        <v>1840</v>
      </c>
      <c r="I232" s="351" t="s">
        <v>1841</v>
      </c>
      <c r="J232" s="351" t="s">
        <v>3930</v>
      </c>
      <c r="K232" s="354">
        <v>232312</v>
      </c>
      <c r="L232" s="355">
        <v>301457</v>
      </c>
      <c r="M232" s="354">
        <v>312393</v>
      </c>
      <c r="N232" s="355">
        <v>316664</v>
      </c>
      <c r="O232" s="355">
        <v>302087</v>
      </c>
      <c r="P232" s="355">
        <v>334079</v>
      </c>
      <c r="Q232" s="355">
        <v>319939</v>
      </c>
      <c r="R232" s="355">
        <v>354414</v>
      </c>
      <c r="S232" s="355">
        <v>347365</v>
      </c>
      <c r="T232" s="355">
        <v>350764</v>
      </c>
      <c r="U232" s="59">
        <f t="shared" si="24"/>
        <v>232312</v>
      </c>
      <c r="V232" s="59">
        <f t="shared" si="25"/>
        <v>354414</v>
      </c>
      <c r="W232" s="59">
        <f t="shared" si="26"/>
        <v>317147.4</v>
      </c>
      <c r="X232" s="60">
        <f t="shared" si="27"/>
        <v>150.98832604428526</v>
      </c>
      <c r="AC232" s="53"/>
      <c r="AL232" s="65">
        <f>_xlfn.IFERROR(INDEX('Tabela PW'!$T:$T,'Słownik PW'!C232,1),"")</f>
        <v>350764</v>
      </c>
    </row>
    <row r="233" spans="1:38" ht="15">
      <c r="A233" s="4" t="s">
        <v>232</v>
      </c>
      <c r="B233" s="5" t="s">
        <v>680</v>
      </c>
      <c r="C233" s="49" t="s">
        <v>251</v>
      </c>
      <c r="D233" s="349">
        <f t="shared" si="23"/>
        <v>76</v>
      </c>
      <c r="E233" s="350" t="s">
        <v>938</v>
      </c>
      <c r="F233" s="51" t="s">
        <v>250</v>
      </c>
      <c r="G233" s="351" t="s">
        <v>695</v>
      </c>
      <c r="H233" s="351" t="s">
        <v>1842</v>
      </c>
      <c r="I233" s="351" t="s">
        <v>1843</v>
      </c>
      <c r="J233" s="351" t="s">
        <v>3931</v>
      </c>
      <c r="K233" s="354">
        <v>223022</v>
      </c>
      <c r="L233" s="355">
        <v>289399</v>
      </c>
      <c r="M233" s="354">
        <v>299893</v>
      </c>
      <c r="N233" s="355">
        <v>303992</v>
      </c>
      <c r="O233" s="355">
        <v>290004</v>
      </c>
      <c r="P233" s="355">
        <v>320718</v>
      </c>
      <c r="Q233" s="355">
        <v>307141</v>
      </c>
      <c r="R233" s="355">
        <v>340239</v>
      </c>
      <c r="S233" s="355">
        <v>333503</v>
      </c>
      <c r="T233" s="355">
        <v>336735</v>
      </c>
      <c r="U233" s="59">
        <f t="shared" si="24"/>
        <v>223022</v>
      </c>
      <c r="V233" s="59">
        <f t="shared" si="25"/>
        <v>340239</v>
      </c>
      <c r="W233" s="59">
        <f t="shared" si="26"/>
        <v>304464.6</v>
      </c>
      <c r="X233" s="60">
        <f t="shared" si="27"/>
        <v>150.98734653980327</v>
      </c>
      <c r="AC233" s="53"/>
      <c r="AL233" s="65">
        <f>_xlfn.IFERROR(INDEX('Tabela PW'!$T:$T,'Słownik PW'!C233,1),"")</f>
        <v>336735</v>
      </c>
    </row>
    <row r="234" spans="1:38" ht="15">
      <c r="A234" s="4" t="s">
        <v>232</v>
      </c>
      <c r="B234" s="5" t="s">
        <v>680</v>
      </c>
      <c r="C234" s="49" t="s">
        <v>252</v>
      </c>
      <c r="D234" s="349">
        <f t="shared" si="23"/>
        <v>66</v>
      </c>
      <c r="E234" s="350" t="s">
        <v>939</v>
      </c>
      <c r="F234" s="51" t="s">
        <v>25</v>
      </c>
      <c r="G234" s="351" t="s">
        <v>683</v>
      </c>
      <c r="H234" s="351" t="s">
        <v>1844</v>
      </c>
      <c r="I234" s="351" t="s">
        <v>1845</v>
      </c>
      <c r="J234" s="351" t="s">
        <v>3933</v>
      </c>
      <c r="K234" s="354">
        <v>223534</v>
      </c>
      <c r="L234" s="355">
        <v>233110</v>
      </c>
      <c r="M234" s="354">
        <v>257647</v>
      </c>
      <c r="N234" s="355">
        <v>266841</v>
      </c>
      <c r="O234" s="355">
        <v>262461</v>
      </c>
      <c r="P234" s="355">
        <v>307626</v>
      </c>
      <c r="Q234" s="355">
        <v>317675</v>
      </c>
      <c r="R234" s="355">
        <v>296649</v>
      </c>
      <c r="S234" s="355">
        <v>313623</v>
      </c>
      <c r="T234" s="355">
        <v>311502</v>
      </c>
      <c r="U234" s="59">
        <f t="shared" si="24"/>
        <v>223534</v>
      </c>
      <c r="V234" s="59">
        <f t="shared" si="25"/>
        <v>317675</v>
      </c>
      <c r="W234" s="59">
        <f t="shared" si="26"/>
        <v>279066.8</v>
      </c>
      <c r="X234" s="60">
        <f t="shared" si="27"/>
        <v>139.35329748494635</v>
      </c>
      <c r="AC234" s="53"/>
      <c r="AL234" s="65">
        <f>_xlfn.IFERROR(INDEX('Tabela PW'!$T:$T,'Słownik PW'!C234,1),"")</f>
        <v>311502</v>
      </c>
    </row>
    <row r="235" spans="1:38" ht="15">
      <c r="A235" s="4" t="s">
        <v>232</v>
      </c>
      <c r="B235" s="5" t="s">
        <v>680</v>
      </c>
      <c r="C235" s="49" t="s">
        <v>252</v>
      </c>
      <c r="D235" s="349">
        <f t="shared" si="23"/>
        <v>66</v>
      </c>
      <c r="E235" s="350" t="s">
        <v>940</v>
      </c>
      <c r="F235" s="51" t="s">
        <v>59</v>
      </c>
      <c r="G235" s="351" t="s">
        <v>699</v>
      </c>
      <c r="H235" s="351" t="s">
        <v>1846</v>
      </c>
      <c r="I235" s="351" t="s">
        <v>1847</v>
      </c>
      <c r="J235" s="351" t="s">
        <v>3934</v>
      </c>
      <c r="K235" s="354">
        <v>221465</v>
      </c>
      <c r="L235" s="355">
        <v>231336</v>
      </c>
      <c r="M235" s="354">
        <v>257112</v>
      </c>
      <c r="N235" s="355">
        <v>265812</v>
      </c>
      <c r="O235" s="355">
        <v>261640</v>
      </c>
      <c r="P235" s="355">
        <v>306150</v>
      </c>
      <c r="Q235" s="355">
        <v>315466</v>
      </c>
      <c r="R235" s="355">
        <v>294381</v>
      </c>
      <c r="S235" s="355">
        <v>310797</v>
      </c>
      <c r="T235" s="355">
        <v>308276</v>
      </c>
      <c r="U235" s="59">
        <f t="shared" si="24"/>
        <v>221465</v>
      </c>
      <c r="V235" s="59">
        <f t="shared" si="25"/>
        <v>315466</v>
      </c>
      <c r="W235" s="59">
        <f t="shared" si="26"/>
        <v>277243.5</v>
      </c>
      <c r="X235" s="60">
        <f t="shared" si="27"/>
        <v>139.1985189533335</v>
      </c>
      <c r="AC235" s="53"/>
      <c r="AL235" s="65">
        <f>_xlfn.IFERROR(INDEX('Tabela PW'!$T:$T,'Słownik PW'!C235,1),"")</f>
        <v>308276</v>
      </c>
    </row>
    <row r="236" spans="1:38" ht="15">
      <c r="A236" s="4" t="s">
        <v>232</v>
      </c>
      <c r="B236" s="5" t="s">
        <v>680</v>
      </c>
      <c r="C236" s="49" t="s">
        <v>253</v>
      </c>
      <c r="D236" s="349">
        <f t="shared" si="23"/>
        <v>6</v>
      </c>
      <c r="E236" s="350" t="s">
        <v>941</v>
      </c>
      <c r="F236" s="51" t="s">
        <v>25</v>
      </c>
      <c r="G236" s="351" t="s">
        <v>683</v>
      </c>
      <c r="H236" s="351" t="s">
        <v>1848</v>
      </c>
      <c r="I236" s="351" t="s">
        <v>1849</v>
      </c>
      <c r="J236" s="351" t="s">
        <v>3935</v>
      </c>
      <c r="K236" s="354">
        <v>501801</v>
      </c>
      <c r="L236" s="355">
        <v>554570</v>
      </c>
      <c r="M236" s="354">
        <v>452622</v>
      </c>
      <c r="N236" s="355">
        <v>487088</v>
      </c>
      <c r="O236" s="355">
        <v>470831</v>
      </c>
      <c r="P236" s="355">
        <v>545115</v>
      </c>
      <c r="Q236" s="355">
        <v>446820</v>
      </c>
      <c r="R236" s="355">
        <v>481955</v>
      </c>
      <c r="S236" s="355">
        <v>467791</v>
      </c>
      <c r="T236" s="355">
        <v>474778</v>
      </c>
      <c r="U236" s="59">
        <f t="shared" si="24"/>
        <v>446820</v>
      </c>
      <c r="V236" s="59">
        <f t="shared" si="25"/>
        <v>554570</v>
      </c>
      <c r="W236" s="59">
        <f t="shared" si="26"/>
        <v>488337.1</v>
      </c>
      <c r="X236" s="60">
        <f t="shared" si="27"/>
        <v>94.61479749940713</v>
      </c>
      <c r="AC236" s="53"/>
      <c r="AL236" s="65">
        <f>_xlfn.IFERROR(INDEX('Tabela PW'!$T:$T,'Słownik PW'!C236,1),"")</f>
        <v>474778</v>
      </c>
    </row>
    <row r="237" spans="1:38" ht="15">
      <c r="A237" s="4" t="s">
        <v>232</v>
      </c>
      <c r="B237" s="5" t="s">
        <v>680</v>
      </c>
      <c r="C237" s="49" t="s">
        <v>254</v>
      </c>
      <c r="D237" s="349">
        <f t="shared" si="23"/>
        <v>17</v>
      </c>
      <c r="E237" s="350" t="s">
        <v>942</v>
      </c>
      <c r="F237" s="51" t="s">
        <v>25</v>
      </c>
      <c r="G237" s="351" t="s">
        <v>683</v>
      </c>
      <c r="H237" s="351" t="s">
        <v>1850</v>
      </c>
      <c r="I237" s="351" t="s">
        <v>1851</v>
      </c>
      <c r="J237" s="351" t="s">
        <v>3936</v>
      </c>
      <c r="K237" s="354">
        <v>337070</v>
      </c>
      <c r="L237" s="355">
        <v>358842</v>
      </c>
      <c r="M237" s="354">
        <v>325518</v>
      </c>
      <c r="N237" s="355">
        <v>351615</v>
      </c>
      <c r="O237" s="355">
        <v>340441</v>
      </c>
      <c r="P237" s="355">
        <v>390578</v>
      </c>
      <c r="Q237" s="355">
        <v>335587</v>
      </c>
      <c r="R237" s="355">
        <v>340717</v>
      </c>
      <c r="S237" s="355">
        <v>311592</v>
      </c>
      <c r="T237" s="355">
        <v>441849</v>
      </c>
      <c r="U237" s="59">
        <f t="shared" si="24"/>
        <v>311592</v>
      </c>
      <c r="V237" s="59">
        <f t="shared" si="25"/>
        <v>441849</v>
      </c>
      <c r="W237" s="59">
        <f t="shared" si="26"/>
        <v>353380.9</v>
      </c>
      <c r="X237" s="60">
        <f t="shared" si="27"/>
        <v>131.08523452101937</v>
      </c>
      <c r="AC237" s="53"/>
      <c r="AL237" s="65">
        <f>_xlfn.IFERROR(INDEX('Tabela PW'!$T:$T,'Słownik PW'!C237,1),"")</f>
        <v>441849</v>
      </c>
    </row>
    <row r="238" spans="1:38" ht="15">
      <c r="A238" s="4" t="s">
        <v>232</v>
      </c>
      <c r="B238" s="5" t="s">
        <v>680</v>
      </c>
      <c r="C238" s="49" t="s">
        <v>255</v>
      </c>
      <c r="D238" s="349">
        <f t="shared" si="23"/>
        <v>15</v>
      </c>
      <c r="E238" s="350" t="s">
        <v>943</v>
      </c>
      <c r="F238" s="51" t="s">
        <v>25</v>
      </c>
      <c r="G238" s="351" t="s">
        <v>683</v>
      </c>
      <c r="H238" s="351" t="s">
        <v>1852</v>
      </c>
      <c r="I238" s="351" t="s">
        <v>1853</v>
      </c>
      <c r="J238" s="351" t="s">
        <v>3937</v>
      </c>
      <c r="K238" s="354">
        <v>62501</v>
      </c>
      <c r="L238" s="355">
        <v>67466</v>
      </c>
      <c r="M238" s="354">
        <v>57032</v>
      </c>
      <c r="N238" s="355">
        <v>52602</v>
      </c>
      <c r="O238" s="355">
        <v>56491</v>
      </c>
      <c r="P238" s="355">
        <v>60803</v>
      </c>
      <c r="Q238" s="355">
        <v>54715</v>
      </c>
      <c r="R238" s="355">
        <v>56441</v>
      </c>
      <c r="S238" s="355">
        <v>54423</v>
      </c>
      <c r="T238" s="355">
        <v>62732</v>
      </c>
      <c r="U238" s="59">
        <f t="shared" si="24"/>
        <v>52602</v>
      </c>
      <c r="V238" s="59">
        <f t="shared" si="25"/>
        <v>67466</v>
      </c>
      <c r="W238" s="59">
        <f t="shared" si="26"/>
        <v>58520.6</v>
      </c>
      <c r="X238" s="60">
        <f t="shared" si="27"/>
        <v>100.36959408649462</v>
      </c>
      <c r="AC238" s="53"/>
      <c r="AL238" s="65">
        <f>_xlfn.IFERROR(INDEX('Tabela PW'!$T:$T,'Słownik PW'!C238,1),"")</f>
        <v>62732</v>
      </c>
    </row>
    <row r="239" spans="1:38" ht="15">
      <c r="A239" s="4" t="s">
        <v>232</v>
      </c>
      <c r="B239" s="5" t="s">
        <v>680</v>
      </c>
      <c r="C239" s="49" t="s">
        <v>256</v>
      </c>
      <c r="D239" s="349">
        <f t="shared" si="23"/>
        <v>48</v>
      </c>
      <c r="E239" s="350" t="s">
        <v>944</v>
      </c>
      <c r="F239" s="51" t="s">
        <v>25</v>
      </c>
      <c r="G239" s="351" t="s">
        <v>683</v>
      </c>
      <c r="H239" s="351" t="s">
        <v>1854</v>
      </c>
      <c r="I239" s="351" t="s">
        <v>1855</v>
      </c>
      <c r="J239" s="351" t="s">
        <v>3938</v>
      </c>
      <c r="K239" s="354">
        <v>5638</v>
      </c>
      <c r="L239" s="355">
        <v>6025</v>
      </c>
      <c r="M239" s="354">
        <v>6018</v>
      </c>
      <c r="N239" s="355">
        <v>4422</v>
      </c>
      <c r="O239" s="355">
        <v>4201</v>
      </c>
      <c r="P239" s="355">
        <v>4923</v>
      </c>
      <c r="Q239" s="355">
        <v>4774</v>
      </c>
      <c r="R239" s="355">
        <v>4620</v>
      </c>
      <c r="S239" s="355">
        <v>5225</v>
      </c>
      <c r="T239" s="355">
        <v>5273</v>
      </c>
      <c r="U239" s="59">
        <f t="shared" si="24"/>
        <v>4201</v>
      </c>
      <c r="V239" s="59">
        <f t="shared" si="25"/>
        <v>6025</v>
      </c>
      <c r="W239" s="59">
        <f t="shared" si="26"/>
        <v>5111.9</v>
      </c>
      <c r="X239" s="60">
        <f t="shared" si="27"/>
        <v>93.52607307555871</v>
      </c>
      <c r="AC239" s="53"/>
      <c r="AL239" s="65">
        <f>_xlfn.IFERROR(INDEX('Tabela PW'!$T:$T,'Słownik PW'!C239,1),"")</f>
        <v>5273</v>
      </c>
    </row>
    <row r="240" spans="1:38" ht="15">
      <c r="A240" s="4" t="s">
        <v>232</v>
      </c>
      <c r="B240" s="5" t="s">
        <v>680</v>
      </c>
      <c r="C240" s="49" t="s">
        <v>257</v>
      </c>
      <c r="D240" s="349">
        <f t="shared" si="23"/>
        <v>6</v>
      </c>
      <c r="E240" s="350" t="s">
        <v>945</v>
      </c>
      <c r="F240" s="51" t="s">
        <v>25</v>
      </c>
      <c r="G240" s="351" t="s">
        <v>683</v>
      </c>
      <c r="H240" s="351" t="s">
        <v>1856</v>
      </c>
      <c r="I240" s="351" t="s">
        <v>1857</v>
      </c>
      <c r="J240" s="351" t="s">
        <v>3939</v>
      </c>
      <c r="K240" s="354">
        <v>135266</v>
      </c>
      <c r="L240" s="355">
        <v>236727</v>
      </c>
      <c r="M240" s="354">
        <v>222992</v>
      </c>
      <c r="N240" s="355">
        <v>260008</v>
      </c>
      <c r="O240" s="355">
        <v>252318</v>
      </c>
      <c r="P240" s="355">
        <v>283038</v>
      </c>
      <c r="Q240" s="355">
        <v>294085</v>
      </c>
      <c r="R240" s="355">
        <v>258357</v>
      </c>
      <c r="S240" s="355">
        <v>227214</v>
      </c>
      <c r="T240" s="355">
        <v>290923</v>
      </c>
      <c r="U240" s="59">
        <f t="shared" si="24"/>
        <v>135266</v>
      </c>
      <c r="V240" s="59">
        <f t="shared" si="25"/>
        <v>294085</v>
      </c>
      <c r="W240" s="59">
        <f t="shared" si="26"/>
        <v>246092.8</v>
      </c>
      <c r="X240" s="60">
        <f t="shared" si="27"/>
        <v>215.074741620215</v>
      </c>
      <c r="AC240" s="53"/>
      <c r="AL240" s="65">
        <f>_xlfn.IFERROR(INDEX('Tabela PW'!$T:$T,'Słownik PW'!C240,1),"")</f>
        <v>290923</v>
      </c>
    </row>
    <row r="241" spans="1:38" ht="15">
      <c r="A241" s="4" t="s">
        <v>232</v>
      </c>
      <c r="B241" s="5" t="s">
        <v>680</v>
      </c>
      <c r="C241" s="49" t="s">
        <v>258</v>
      </c>
      <c r="D241" s="349">
        <f t="shared" si="23"/>
        <v>6</v>
      </c>
      <c r="E241" s="350" t="s">
        <v>946</v>
      </c>
      <c r="F241" s="51" t="s">
        <v>25</v>
      </c>
      <c r="G241" s="351" t="s">
        <v>683</v>
      </c>
      <c r="H241" s="351" t="s">
        <v>1858</v>
      </c>
      <c r="I241" s="351" t="s">
        <v>1859</v>
      </c>
      <c r="J241" s="351" t="s">
        <v>3940</v>
      </c>
      <c r="K241" s="354">
        <v>97874</v>
      </c>
      <c r="L241" s="355">
        <v>60534</v>
      </c>
      <c r="M241" s="354">
        <v>24629</v>
      </c>
      <c r="N241" s="355">
        <v>17695</v>
      </c>
      <c r="O241" s="355">
        <v>12679</v>
      </c>
      <c r="P241" s="355">
        <v>13579</v>
      </c>
      <c r="Q241" s="355">
        <v>15970</v>
      </c>
      <c r="R241" s="355">
        <v>19269</v>
      </c>
      <c r="S241" s="355">
        <v>13016</v>
      </c>
      <c r="T241" s="355">
        <v>12138</v>
      </c>
      <c r="U241" s="59">
        <f t="shared" si="24"/>
        <v>12138</v>
      </c>
      <c r="V241" s="59">
        <f t="shared" si="25"/>
        <v>97874</v>
      </c>
      <c r="W241" s="59">
        <f t="shared" si="26"/>
        <v>28738.3</v>
      </c>
      <c r="X241" s="60">
        <f t="shared" si="27"/>
        <v>12.401659276212273</v>
      </c>
      <c r="AC241" s="53"/>
      <c r="AL241" s="65">
        <f>_xlfn.IFERROR(INDEX('Tabela PW'!$T:$T,'Słownik PW'!C241,1),"")</f>
        <v>12138</v>
      </c>
    </row>
    <row r="242" spans="1:38" ht="15">
      <c r="A242" s="4" t="s">
        <v>232</v>
      </c>
      <c r="B242" s="5" t="s">
        <v>680</v>
      </c>
      <c r="C242" s="49" t="s">
        <v>259</v>
      </c>
      <c r="D242" s="349">
        <f t="shared" si="23"/>
        <v>8</v>
      </c>
      <c r="E242" s="350" t="s">
        <v>947</v>
      </c>
      <c r="F242" s="51" t="s">
        <v>25</v>
      </c>
      <c r="G242" s="351" t="s">
        <v>683</v>
      </c>
      <c r="H242" s="351" t="s">
        <v>1860</v>
      </c>
      <c r="I242" s="351" t="s">
        <v>1861</v>
      </c>
      <c r="J242" s="351" t="s">
        <v>3941</v>
      </c>
      <c r="K242" s="354">
        <v>5078</v>
      </c>
      <c r="L242" s="355">
        <v>12008</v>
      </c>
      <c r="M242" s="354">
        <v>1638</v>
      </c>
      <c r="N242" s="355">
        <v>30</v>
      </c>
      <c r="O242" s="355">
        <v>28</v>
      </c>
      <c r="P242" s="356" t="s">
        <v>4569</v>
      </c>
      <c r="Q242" s="356" t="s">
        <v>4569</v>
      </c>
      <c r="R242" s="355" t="s">
        <v>4569</v>
      </c>
      <c r="S242" s="355" t="s">
        <v>4569</v>
      </c>
      <c r="T242" s="355" t="s">
        <v>4569</v>
      </c>
      <c r="U242" s="59">
        <f t="shared" si="24"/>
        <v>28</v>
      </c>
      <c r="V242" s="59">
        <f t="shared" si="25"/>
        <v>12008</v>
      </c>
      <c r="W242" s="59">
        <f t="shared" si="26"/>
        <v>3756.4</v>
      </c>
      <c r="X242" s="60" t="str">
        <f t="shared" si="27"/>
        <v>-</v>
      </c>
      <c r="AC242" s="53"/>
      <c r="AL242" s="65" t="str">
        <f>_xlfn.IFERROR(INDEX('Tabela PW'!$T:$T,'Słownik PW'!C242,1),"")</f>
        <v>—</v>
      </c>
    </row>
    <row r="243" spans="1:38" ht="15">
      <c r="A243" s="4" t="s">
        <v>232</v>
      </c>
      <c r="B243" s="5" t="s">
        <v>680</v>
      </c>
      <c r="C243" s="49" t="s">
        <v>260</v>
      </c>
      <c r="D243" s="349">
        <f t="shared" si="23"/>
        <v>8</v>
      </c>
      <c r="E243" s="350" t="s">
        <v>948</v>
      </c>
      <c r="F243" s="51" t="s">
        <v>25</v>
      </c>
      <c r="G243" s="351" t="s">
        <v>683</v>
      </c>
      <c r="H243" s="351" t="s">
        <v>1862</v>
      </c>
      <c r="I243" s="351" t="s">
        <v>1863</v>
      </c>
      <c r="J243" s="351" t="s">
        <v>3942</v>
      </c>
      <c r="K243" s="356" t="s">
        <v>4569</v>
      </c>
      <c r="L243" s="355">
        <v>250449</v>
      </c>
      <c r="M243" s="354">
        <v>313076</v>
      </c>
      <c r="N243" s="355">
        <v>371353</v>
      </c>
      <c r="O243" s="355">
        <v>348727</v>
      </c>
      <c r="P243" s="355">
        <v>373717</v>
      </c>
      <c r="Q243" s="355">
        <v>398835</v>
      </c>
      <c r="R243" s="355">
        <v>320436</v>
      </c>
      <c r="S243" s="355">
        <v>313050</v>
      </c>
      <c r="T243" s="355">
        <v>418902</v>
      </c>
      <c r="U243" s="59">
        <f t="shared" si="24"/>
        <v>250449</v>
      </c>
      <c r="V243" s="59">
        <f t="shared" si="25"/>
        <v>418902</v>
      </c>
      <c r="W243" s="59">
        <f t="shared" si="26"/>
        <v>345393.8888888889</v>
      </c>
      <c r="X243" s="60" t="str">
        <f t="shared" si="27"/>
        <v>-</v>
      </c>
      <c r="AC243" s="53"/>
      <c r="AL243" s="65">
        <f>_xlfn.IFERROR(INDEX('Tabela PW'!$T:$T,'Słownik PW'!C243,1),"")</f>
        <v>418902</v>
      </c>
    </row>
    <row r="244" spans="1:38" ht="15">
      <c r="A244" s="4" t="s">
        <v>232</v>
      </c>
      <c r="B244" s="5" t="s">
        <v>680</v>
      </c>
      <c r="C244" s="49" t="s">
        <v>261</v>
      </c>
      <c r="D244" s="349">
        <f t="shared" si="23"/>
        <v>7</v>
      </c>
      <c r="E244" s="350" t="s">
        <v>949</v>
      </c>
      <c r="F244" s="51" t="s">
        <v>262</v>
      </c>
      <c r="G244" s="351" t="s">
        <v>687</v>
      </c>
      <c r="H244" s="351" t="s">
        <v>1864</v>
      </c>
      <c r="I244" s="351" t="s">
        <v>1865</v>
      </c>
      <c r="J244" s="351" t="s">
        <v>3943</v>
      </c>
      <c r="K244" s="354">
        <v>344</v>
      </c>
      <c r="L244" s="355">
        <v>357</v>
      </c>
      <c r="M244" s="354">
        <v>388</v>
      </c>
      <c r="N244" s="355">
        <v>260</v>
      </c>
      <c r="O244" s="355">
        <v>314</v>
      </c>
      <c r="P244" s="355">
        <v>241</v>
      </c>
      <c r="Q244" s="355">
        <v>206</v>
      </c>
      <c r="R244" s="355">
        <v>360</v>
      </c>
      <c r="S244" s="355">
        <v>131</v>
      </c>
      <c r="T244" s="355" t="s">
        <v>4602</v>
      </c>
      <c r="U244" s="59">
        <f t="shared" si="24"/>
        <v>131</v>
      </c>
      <c r="V244" s="59">
        <f t="shared" si="25"/>
        <v>388</v>
      </c>
      <c r="W244" s="59">
        <f t="shared" si="26"/>
        <v>289</v>
      </c>
      <c r="X244" s="60" t="str">
        <f t="shared" si="27"/>
        <v>-</v>
      </c>
      <c r="AC244" s="53"/>
      <c r="AL244" s="65" t="str">
        <f>_xlfn.IFERROR(INDEX('Tabela PW'!$T:$T,'Słownik PW'!C244,1),"")</f>
        <v>x</v>
      </c>
    </row>
    <row r="245" spans="1:38" ht="15">
      <c r="A245" s="4" t="s">
        <v>232</v>
      </c>
      <c r="B245" s="5" t="s">
        <v>680</v>
      </c>
      <c r="C245" s="49" t="s">
        <v>263</v>
      </c>
      <c r="D245" s="349">
        <f t="shared" si="23"/>
        <v>30</v>
      </c>
      <c r="E245" s="350" t="s">
        <v>950</v>
      </c>
      <c r="F245" s="51" t="s">
        <v>264</v>
      </c>
      <c r="G245" s="351" t="s">
        <v>668</v>
      </c>
      <c r="H245" s="351" t="s">
        <v>1866</v>
      </c>
      <c r="I245" s="351" t="s">
        <v>1867</v>
      </c>
      <c r="J245" s="351" t="s">
        <v>3944</v>
      </c>
      <c r="K245" s="354">
        <v>27149</v>
      </c>
      <c r="L245" s="355">
        <v>29102</v>
      </c>
      <c r="M245" s="354">
        <v>29407</v>
      </c>
      <c r="N245" s="355">
        <v>30086</v>
      </c>
      <c r="O245" s="355">
        <v>28446</v>
      </c>
      <c r="P245" s="355">
        <v>24881</v>
      </c>
      <c r="Q245" s="355">
        <v>28942</v>
      </c>
      <c r="R245" s="355">
        <v>32731</v>
      </c>
      <c r="S245" s="355">
        <v>33856</v>
      </c>
      <c r="T245" s="355">
        <v>27728</v>
      </c>
      <c r="U245" s="59">
        <f t="shared" si="24"/>
        <v>24881</v>
      </c>
      <c r="V245" s="59">
        <f t="shared" si="25"/>
        <v>33856</v>
      </c>
      <c r="W245" s="59">
        <f t="shared" si="26"/>
        <v>29232.8</v>
      </c>
      <c r="X245" s="60">
        <f t="shared" si="27"/>
        <v>102.13267523665697</v>
      </c>
      <c r="AC245" s="53"/>
      <c r="AL245" s="65">
        <f>_xlfn.IFERROR(INDEX('Tabela PW'!$T:$T,'Słownik PW'!C245,1),"")</f>
        <v>27728</v>
      </c>
    </row>
    <row r="246" spans="1:38" ht="15">
      <c r="A246" s="4" t="s">
        <v>232</v>
      </c>
      <c r="B246" s="5" t="s">
        <v>680</v>
      </c>
      <c r="C246" s="49" t="s">
        <v>265</v>
      </c>
      <c r="D246" s="349">
        <f t="shared" si="23"/>
        <v>29</v>
      </c>
      <c r="E246" s="350" t="s">
        <v>951</v>
      </c>
      <c r="F246" s="51" t="s">
        <v>25</v>
      </c>
      <c r="G246" s="351" t="s">
        <v>683</v>
      </c>
      <c r="H246" s="351" t="s">
        <v>1868</v>
      </c>
      <c r="I246" s="351" t="s">
        <v>1869</v>
      </c>
      <c r="J246" s="351" t="s">
        <v>3945</v>
      </c>
      <c r="K246" s="354">
        <v>16720</v>
      </c>
      <c r="L246" s="355">
        <v>13371</v>
      </c>
      <c r="M246" s="354">
        <v>13759</v>
      </c>
      <c r="N246" s="355">
        <v>15069</v>
      </c>
      <c r="O246" s="355">
        <v>13239</v>
      </c>
      <c r="P246" s="355">
        <v>9075</v>
      </c>
      <c r="Q246" s="355">
        <v>12950</v>
      </c>
      <c r="R246" s="355">
        <v>10579</v>
      </c>
      <c r="S246" s="355">
        <v>7624</v>
      </c>
      <c r="T246" s="355">
        <v>9139</v>
      </c>
      <c r="U246" s="59">
        <f t="shared" si="24"/>
        <v>7624</v>
      </c>
      <c r="V246" s="59">
        <f t="shared" si="25"/>
        <v>16720</v>
      </c>
      <c r="W246" s="59">
        <f t="shared" si="26"/>
        <v>12152.5</v>
      </c>
      <c r="X246" s="60">
        <f t="shared" si="27"/>
        <v>54.659090909090914</v>
      </c>
      <c r="AC246" s="53"/>
      <c r="AL246" s="65">
        <f>_xlfn.IFERROR(INDEX('Tabela PW'!$T:$T,'Słownik PW'!C246,1),"")</f>
        <v>9139</v>
      </c>
    </row>
    <row r="247" spans="1:38" ht="15">
      <c r="A247" s="4" t="s">
        <v>232</v>
      </c>
      <c r="B247" s="5" t="s">
        <v>680</v>
      </c>
      <c r="C247" s="49" t="s">
        <v>266</v>
      </c>
      <c r="D247" s="349">
        <f t="shared" si="23"/>
        <v>93</v>
      </c>
      <c r="E247" s="350" t="s">
        <v>952</v>
      </c>
      <c r="F247" s="51" t="s">
        <v>25</v>
      </c>
      <c r="G247" s="351" t="s">
        <v>683</v>
      </c>
      <c r="H247" s="351" t="s">
        <v>1870</v>
      </c>
      <c r="I247" s="351" t="s">
        <v>1871</v>
      </c>
      <c r="J247" s="351" t="s">
        <v>3946</v>
      </c>
      <c r="K247" s="354">
        <v>13065</v>
      </c>
      <c r="L247" s="355">
        <v>11310</v>
      </c>
      <c r="M247" s="354">
        <v>17489</v>
      </c>
      <c r="N247" s="355">
        <v>19552</v>
      </c>
      <c r="O247" s="355">
        <v>21312</v>
      </c>
      <c r="P247" s="355">
        <v>21472</v>
      </c>
      <c r="Q247" s="355">
        <v>22258</v>
      </c>
      <c r="R247" s="355">
        <v>27738</v>
      </c>
      <c r="S247" s="355">
        <v>32663</v>
      </c>
      <c r="T247" s="355">
        <v>34234</v>
      </c>
      <c r="U247" s="59">
        <f t="shared" si="24"/>
        <v>11310</v>
      </c>
      <c r="V247" s="59">
        <f t="shared" si="25"/>
        <v>34234</v>
      </c>
      <c r="W247" s="59">
        <f t="shared" si="26"/>
        <v>22109.3</v>
      </c>
      <c r="X247" s="60">
        <f t="shared" si="27"/>
        <v>262.0283199387677</v>
      </c>
      <c r="AC247" s="53"/>
      <c r="AL247" s="65">
        <f>_xlfn.IFERROR(INDEX('Tabela PW'!$T:$T,'Słownik PW'!C247,1),"")</f>
        <v>34234</v>
      </c>
    </row>
    <row r="248" spans="1:38" ht="15">
      <c r="A248" s="4" t="s">
        <v>232</v>
      </c>
      <c r="B248" s="5" t="s">
        <v>680</v>
      </c>
      <c r="C248" s="49" t="s">
        <v>267</v>
      </c>
      <c r="D248" s="349">
        <f t="shared" si="23"/>
        <v>5</v>
      </c>
      <c r="E248" s="350" t="s">
        <v>953</v>
      </c>
      <c r="F248" s="51" t="s">
        <v>25</v>
      </c>
      <c r="G248" s="351" t="s">
        <v>683</v>
      </c>
      <c r="H248" s="351" t="s">
        <v>1872</v>
      </c>
      <c r="I248" s="351" t="s">
        <v>1873</v>
      </c>
      <c r="J248" s="351" t="s">
        <v>3947</v>
      </c>
      <c r="K248" s="354">
        <v>34825</v>
      </c>
      <c r="L248" s="355">
        <v>40838</v>
      </c>
      <c r="M248" s="354">
        <v>34612</v>
      </c>
      <c r="N248" s="355">
        <v>35701</v>
      </c>
      <c r="O248" s="355">
        <v>30688</v>
      </c>
      <c r="P248" s="355">
        <v>35366</v>
      </c>
      <c r="Q248" s="355">
        <v>39902</v>
      </c>
      <c r="R248" s="355">
        <v>42097</v>
      </c>
      <c r="S248" s="355">
        <v>42866</v>
      </c>
      <c r="T248" s="355">
        <v>44731</v>
      </c>
      <c r="U248" s="59">
        <f t="shared" si="24"/>
        <v>30688</v>
      </c>
      <c r="V248" s="59">
        <f t="shared" si="25"/>
        <v>44731</v>
      </c>
      <c r="W248" s="59">
        <f t="shared" si="26"/>
        <v>38162.6</v>
      </c>
      <c r="X248" s="60">
        <f t="shared" si="27"/>
        <v>128.4450825556353</v>
      </c>
      <c r="AC248" s="53"/>
      <c r="AL248" s="65">
        <f>_xlfn.IFERROR(INDEX('Tabela PW'!$T:$T,'Słownik PW'!C248,1),"")</f>
        <v>44731</v>
      </c>
    </row>
    <row r="249" spans="1:38" ht="15">
      <c r="A249" s="4" t="s">
        <v>232</v>
      </c>
      <c r="B249" s="5" t="s">
        <v>680</v>
      </c>
      <c r="C249" s="49" t="s">
        <v>267</v>
      </c>
      <c r="D249" s="349">
        <f t="shared" si="23"/>
        <v>5</v>
      </c>
      <c r="E249" s="350" t="s">
        <v>954</v>
      </c>
      <c r="F249" s="51" t="s">
        <v>268</v>
      </c>
      <c r="G249" s="351" t="s">
        <v>685</v>
      </c>
      <c r="H249" s="351" t="s">
        <v>1874</v>
      </c>
      <c r="I249" s="351" t="s">
        <v>1875</v>
      </c>
      <c r="J249" s="351" t="s">
        <v>3948</v>
      </c>
      <c r="K249" s="354">
        <v>34476</v>
      </c>
      <c r="L249" s="355">
        <v>40296</v>
      </c>
      <c r="M249" s="354">
        <v>34598</v>
      </c>
      <c r="N249" s="355">
        <v>35687</v>
      </c>
      <c r="O249" s="355">
        <v>30676</v>
      </c>
      <c r="P249" s="355">
        <v>35352</v>
      </c>
      <c r="Q249" s="355">
        <v>39886</v>
      </c>
      <c r="R249" s="355">
        <v>42080</v>
      </c>
      <c r="S249" s="355">
        <v>42849</v>
      </c>
      <c r="T249" s="355">
        <v>44713</v>
      </c>
      <c r="U249" s="59">
        <f t="shared" si="24"/>
        <v>30676</v>
      </c>
      <c r="V249" s="59">
        <f t="shared" si="25"/>
        <v>44713</v>
      </c>
      <c r="W249" s="59">
        <f t="shared" si="26"/>
        <v>38061.3</v>
      </c>
      <c r="X249" s="60">
        <f t="shared" si="27"/>
        <v>129.6931198514909</v>
      </c>
      <c r="AC249" s="53"/>
      <c r="AL249" s="65">
        <f>_xlfn.IFERROR(INDEX('Tabela PW'!$T:$T,'Słownik PW'!C249,1),"")</f>
        <v>44713</v>
      </c>
    </row>
    <row r="250" spans="1:38" ht="15">
      <c r="A250" s="4" t="s">
        <v>232</v>
      </c>
      <c r="B250" s="5" t="s">
        <v>680</v>
      </c>
      <c r="C250" s="49" t="s">
        <v>269</v>
      </c>
      <c r="D250" s="349">
        <f t="shared" si="23"/>
        <v>11</v>
      </c>
      <c r="E250" s="350" t="s">
        <v>955</v>
      </c>
      <c r="F250" s="51" t="s">
        <v>25</v>
      </c>
      <c r="G250" s="351" t="s">
        <v>683</v>
      </c>
      <c r="H250" s="351" t="s">
        <v>1876</v>
      </c>
      <c r="I250" s="351" t="s">
        <v>1877</v>
      </c>
      <c r="J250" s="351" t="s">
        <v>3949</v>
      </c>
      <c r="K250" s="354">
        <v>9829</v>
      </c>
      <c r="L250" s="355">
        <v>7564</v>
      </c>
      <c r="M250" s="354">
        <v>7596</v>
      </c>
      <c r="N250" s="355">
        <v>8432</v>
      </c>
      <c r="O250" s="355">
        <v>8845</v>
      </c>
      <c r="P250" s="355">
        <v>10065</v>
      </c>
      <c r="Q250" s="355">
        <v>8713</v>
      </c>
      <c r="R250" s="355">
        <v>11086</v>
      </c>
      <c r="S250" s="355">
        <v>11340</v>
      </c>
      <c r="T250" s="355">
        <v>7609</v>
      </c>
      <c r="U250" s="59">
        <f t="shared" si="24"/>
        <v>7564</v>
      </c>
      <c r="V250" s="59">
        <f t="shared" si="25"/>
        <v>11340</v>
      </c>
      <c r="W250" s="59">
        <f t="shared" si="26"/>
        <v>9107.9</v>
      </c>
      <c r="X250" s="60">
        <f t="shared" si="27"/>
        <v>77.41377556211212</v>
      </c>
      <c r="AC250" s="53"/>
      <c r="AL250" s="65">
        <f>_xlfn.IFERROR(INDEX('Tabela PW'!$T:$T,'Słownik PW'!C250,1),"")</f>
        <v>7609</v>
      </c>
    </row>
    <row r="251" spans="1:38" ht="15">
      <c r="A251" s="4" t="s">
        <v>232</v>
      </c>
      <c r="B251" s="5" t="s">
        <v>680</v>
      </c>
      <c r="C251" s="49" t="s">
        <v>269</v>
      </c>
      <c r="D251" s="349">
        <f t="shared" si="23"/>
        <v>11</v>
      </c>
      <c r="E251" s="350" t="s">
        <v>956</v>
      </c>
      <c r="F251" s="51" t="s">
        <v>270</v>
      </c>
      <c r="G251" s="351" t="s">
        <v>686</v>
      </c>
      <c r="H251" s="351" t="s">
        <v>1878</v>
      </c>
      <c r="I251" s="351" t="s">
        <v>1879</v>
      </c>
      <c r="J251" s="351" t="s">
        <v>3950</v>
      </c>
      <c r="K251" s="354">
        <v>9720</v>
      </c>
      <c r="L251" s="355">
        <v>7480</v>
      </c>
      <c r="M251" s="354">
        <v>7346</v>
      </c>
      <c r="N251" s="355">
        <v>8238</v>
      </c>
      <c r="O251" s="355">
        <v>8623</v>
      </c>
      <c r="P251" s="355">
        <v>9922</v>
      </c>
      <c r="Q251" s="355">
        <v>8581</v>
      </c>
      <c r="R251" s="355">
        <v>10768</v>
      </c>
      <c r="S251" s="355">
        <v>9738</v>
      </c>
      <c r="T251" s="355">
        <v>5960</v>
      </c>
      <c r="U251" s="59">
        <f t="shared" si="24"/>
        <v>5960</v>
      </c>
      <c r="V251" s="59">
        <f t="shared" si="25"/>
        <v>10768</v>
      </c>
      <c r="W251" s="59">
        <f t="shared" si="26"/>
        <v>8637.6</v>
      </c>
      <c r="X251" s="60">
        <f t="shared" si="27"/>
        <v>61.31687242798354</v>
      </c>
      <c r="AC251" s="53"/>
      <c r="AL251" s="65">
        <f>_xlfn.IFERROR(INDEX('Tabela PW'!$T:$T,'Słownik PW'!C251,1),"")</f>
        <v>5960</v>
      </c>
    </row>
    <row r="252" spans="1:38" ht="15">
      <c r="A252" s="4" t="s">
        <v>232</v>
      </c>
      <c r="B252" s="5" t="s">
        <v>680</v>
      </c>
      <c r="C252" s="49" t="s">
        <v>271</v>
      </c>
      <c r="D252" s="349">
        <f t="shared" si="23"/>
        <v>47</v>
      </c>
      <c r="E252" s="350" t="s">
        <v>957</v>
      </c>
      <c r="F252" s="51" t="s">
        <v>25</v>
      </c>
      <c r="G252" s="351" t="s">
        <v>683</v>
      </c>
      <c r="H252" s="351" t="s">
        <v>1880</v>
      </c>
      <c r="I252" s="351" t="s">
        <v>1881</v>
      </c>
      <c r="J252" s="351" t="s">
        <v>3951</v>
      </c>
      <c r="K252" s="354">
        <v>16699</v>
      </c>
      <c r="L252" s="355">
        <v>372349</v>
      </c>
      <c r="M252" s="354">
        <v>491160</v>
      </c>
      <c r="N252" s="355">
        <v>574549</v>
      </c>
      <c r="O252" s="355">
        <v>570784</v>
      </c>
      <c r="P252" s="355">
        <v>584659</v>
      </c>
      <c r="Q252" s="355">
        <v>601531</v>
      </c>
      <c r="R252" s="355">
        <v>518740</v>
      </c>
      <c r="S252" s="355">
        <v>486061</v>
      </c>
      <c r="T252" s="355">
        <v>647114</v>
      </c>
      <c r="U252" s="59">
        <f t="shared" si="24"/>
        <v>16699</v>
      </c>
      <c r="V252" s="59">
        <f t="shared" si="25"/>
        <v>647114</v>
      </c>
      <c r="W252" s="59">
        <f t="shared" si="26"/>
        <v>486364.6</v>
      </c>
      <c r="X252" s="60">
        <f t="shared" si="27"/>
        <v>3875.1661776154256</v>
      </c>
      <c r="AC252" s="53"/>
      <c r="AL252" s="65">
        <f>_xlfn.IFERROR(INDEX('Tabela PW'!$T:$T,'Słownik PW'!C252,1),"")</f>
        <v>647114</v>
      </c>
    </row>
    <row r="253" spans="1:38" ht="15">
      <c r="A253" s="4" t="s">
        <v>232</v>
      </c>
      <c r="B253" s="5" t="s">
        <v>680</v>
      </c>
      <c r="C253" s="49" t="s">
        <v>272</v>
      </c>
      <c r="D253" s="349">
        <f t="shared" si="23"/>
        <v>37</v>
      </c>
      <c r="E253" s="350" t="s">
        <v>958</v>
      </c>
      <c r="F253" s="51" t="s">
        <v>25</v>
      </c>
      <c r="G253" s="351" t="s">
        <v>683</v>
      </c>
      <c r="H253" s="351" t="s">
        <v>1882</v>
      </c>
      <c r="I253" s="351" t="s">
        <v>1883</v>
      </c>
      <c r="J253" s="351" t="s">
        <v>3952</v>
      </c>
      <c r="K253" s="354">
        <v>159307</v>
      </c>
      <c r="L253" s="355">
        <v>164044</v>
      </c>
      <c r="M253" s="354">
        <v>162995</v>
      </c>
      <c r="N253" s="355">
        <v>159916</v>
      </c>
      <c r="O253" s="355">
        <v>167601</v>
      </c>
      <c r="P253" s="355">
        <v>164695</v>
      </c>
      <c r="Q253" s="355">
        <v>164426</v>
      </c>
      <c r="R253" s="355">
        <v>167532</v>
      </c>
      <c r="S253" s="355">
        <v>166147</v>
      </c>
      <c r="T253" s="355">
        <v>166516</v>
      </c>
      <c r="U253" s="59">
        <f t="shared" si="24"/>
        <v>159307</v>
      </c>
      <c r="V253" s="59">
        <f t="shared" si="25"/>
        <v>167601</v>
      </c>
      <c r="W253" s="59">
        <f t="shared" si="26"/>
        <v>164317.9</v>
      </c>
      <c r="X253" s="60">
        <f t="shared" si="27"/>
        <v>104.52522488026264</v>
      </c>
      <c r="AC253" s="53"/>
      <c r="AL253" s="65">
        <f>_xlfn.IFERROR(INDEX('Tabela PW'!$T:$T,'Słownik PW'!C253,1),"")</f>
        <v>166516</v>
      </c>
    </row>
    <row r="254" spans="1:38" ht="15">
      <c r="A254" s="4" t="s">
        <v>232</v>
      </c>
      <c r="B254" s="5" t="s">
        <v>680</v>
      </c>
      <c r="C254" s="49" t="s">
        <v>273</v>
      </c>
      <c r="D254" s="349">
        <f t="shared" si="23"/>
        <v>21</v>
      </c>
      <c r="E254" s="350" t="s">
        <v>959</v>
      </c>
      <c r="F254" s="51" t="s">
        <v>25</v>
      </c>
      <c r="G254" s="351" t="s">
        <v>683</v>
      </c>
      <c r="H254" s="351" t="s">
        <v>1884</v>
      </c>
      <c r="I254" s="351" t="s">
        <v>1885</v>
      </c>
      <c r="J254" s="351" t="s">
        <v>3953</v>
      </c>
      <c r="K254" s="354">
        <v>192837</v>
      </c>
      <c r="L254" s="355">
        <v>207260</v>
      </c>
      <c r="M254" s="354">
        <v>221096</v>
      </c>
      <c r="N254" s="355">
        <v>218535</v>
      </c>
      <c r="O254" s="355">
        <v>258424</v>
      </c>
      <c r="P254" s="355">
        <v>243155</v>
      </c>
      <c r="Q254" s="355">
        <v>273295</v>
      </c>
      <c r="R254" s="355">
        <v>242334</v>
      </c>
      <c r="S254" s="355">
        <v>248119</v>
      </c>
      <c r="T254" s="355">
        <v>463576</v>
      </c>
      <c r="U254" s="59">
        <f t="shared" si="24"/>
        <v>192837</v>
      </c>
      <c r="V254" s="59">
        <f t="shared" si="25"/>
        <v>463576</v>
      </c>
      <c r="W254" s="59">
        <f t="shared" si="26"/>
        <v>256863.1</v>
      </c>
      <c r="X254" s="60">
        <f t="shared" si="27"/>
        <v>240.39784896052106</v>
      </c>
      <c r="AC254" s="53"/>
      <c r="AL254" s="65">
        <f>_xlfn.IFERROR(INDEX('Tabela PW'!$T:$T,'Słownik PW'!C254,1),"")</f>
        <v>463576</v>
      </c>
    </row>
    <row r="255" spans="1:38" ht="15">
      <c r="A255" s="4" t="s">
        <v>232</v>
      </c>
      <c r="B255" s="5" t="s">
        <v>680</v>
      </c>
      <c r="C255" s="49" t="s">
        <v>274</v>
      </c>
      <c r="D255" s="349">
        <f t="shared" si="23"/>
        <v>6</v>
      </c>
      <c r="E255" s="350" t="s">
        <v>960</v>
      </c>
      <c r="F255" s="51" t="s">
        <v>25</v>
      </c>
      <c r="G255" s="351" t="s">
        <v>683</v>
      </c>
      <c r="H255" s="351" t="s">
        <v>1886</v>
      </c>
      <c r="I255" s="351" t="s">
        <v>1887</v>
      </c>
      <c r="J255" s="351" t="s">
        <v>3954</v>
      </c>
      <c r="K255" s="354">
        <v>22593</v>
      </c>
      <c r="L255" s="355">
        <v>26596</v>
      </c>
      <c r="M255" s="354">
        <v>22510</v>
      </c>
      <c r="N255" s="355">
        <v>23204</v>
      </c>
      <c r="O255" s="355">
        <v>20181</v>
      </c>
      <c r="P255" s="355">
        <v>22502</v>
      </c>
      <c r="Q255" s="355">
        <v>25915</v>
      </c>
      <c r="R255" s="355">
        <v>26975</v>
      </c>
      <c r="S255" s="355">
        <v>28826</v>
      </c>
      <c r="T255" s="355">
        <v>28917</v>
      </c>
      <c r="U255" s="59">
        <f t="shared" si="24"/>
        <v>20181</v>
      </c>
      <c r="V255" s="59">
        <f t="shared" si="25"/>
        <v>28917</v>
      </c>
      <c r="W255" s="59">
        <f t="shared" si="26"/>
        <v>24821.9</v>
      </c>
      <c r="X255" s="60">
        <f t="shared" si="27"/>
        <v>127.99097065462755</v>
      </c>
      <c r="AC255" s="53"/>
      <c r="AL255" s="65">
        <f>_xlfn.IFERROR(INDEX('Tabela PW'!$T:$T,'Słownik PW'!C255,1),"")</f>
        <v>28917</v>
      </c>
    </row>
    <row r="256" spans="1:38" ht="15">
      <c r="A256" s="4" t="s">
        <v>232</v>
      </c>
      <c r="B256" s="5" t="s">
        <v>680</v>
      </c>
      <c r="C256" s="49" t="s">
        <v>275</v>
      </c>
      <c r="D256" s="349">
        <f t="shared" si="23"/>
        <v>14</v>
      </c>
      <c r="E256" s="350" t="s">
        <v>961</v>
      </c>
      <c r="F256" s="51" t="s">
        <v>25</v>
      </c>
      <c r="G256" s="351" t="s">
        <v>683</v>
      </c>
      <c r="H256" s="351" t="s">
        <v>1888</v>
      </c>
      <c r="I256" s="351" t="s">
        <v>1889</v>
      </c>
      <c r="J256" s="351" t="s">
        <v>3955</v>
      </c>
      <c r="K256" s="354">
        <v>62693</v>
      </c>
      <c r="L256" s="355">
        <v>78933</v>
      </c>
      <c r="M256" s="354">
        <v>88683</v>
      </c>
      <c r="N256" s="355">
        <v>60904</v>
      </c>
      <c r="O256" s="366">
        <v>69808</v>
      </c>
      <c r="P256" s="355">
        <v>98569</v>
      </c>
      <c r="Q256" s="355">
        <v>115541</v>
      </c>
      <c r="R256" s="355">
        <v>117921</v>
      </c>
      <c r="S256" s="355">
        <v>91026</v>
      </c>
      <c r="T256" s="355">
        <v>80690</v>
      </c>
      <c r="U256" s="59">
        <f t="shared" si="24"/>
        <v>60904</v>
      </c>
      <c r="V256" s="59">
        <f t="shared" si="25"/>
        <v>117921</v>
      </c>
      <c r="W256" s="59">
        <f t="shared" si="26"/>
        <v>86476.8</v>
      </c>
      <c r="X256" s="60">
        <f t="shared" si="27"/>
        <v>128.7065541607516</v>
      </c>
      <c r="AC256" s="53"/>
      <c r="AL256" s="65">
        <f>_xlfn.IFERROR(INDEX('Tabela PW'!$T:$T,'Słownik PW'!C256,1),"")</f>
        <v>80690</v>
      </c>
    </row>
    <row r="257" spans="1:38" ht="15">
      <c r="A257" s="4" t="s">
        <v>232</v>
      </c>
      <c r="B257" s="5" t="s">
        <v>680</v>
      </c>
      <c r="C257" s="49" t="s">
        <v>276</v>
      </c>
      <c r="D257" s="349">
        <f t="shared" si="23"/>
        <v>15</v>
      </c>
      <c r="E257" s="350" t="s">
        <v>962</v>
      </c>
      <c r="F257" s="51" t="s">
        <v>25</v>
      </c>
      <c r="G257" s="351" t="s">
        <v>683</v>
      </c>
      <c r="H257" s="351" t="s">
        <v>1890</v>
      </c>
      <c r="I257" s="351" t="s">
        <v>1891</v>
      </c>
      <c r="J257" s="351" t="s">
        <v>3956</v>
      </c>
      <c r="K257" s="354">
        <v>119740</v>
      </c>
      <c r="L257" s="355">
        <v>112440</v>
      </c>
      <c r="M257" s="354">
        <v>102642</v>
      </c>
      <c r="N257" s="355">
        <v>111108</v>
      </c>
      <c r="O257" s="355">
        <v>110871</v>
      </c>
      <c r="P257" s="355">
        <v>113166</v>
      </c>
      <c r="Q257" s="355">
        <v>107844</v>
      </c>
      <c r="R257" s="355">
        <v>101430</v>
      </c>
      <c r="S257" s="355">
        <v>106283</v>
      </c>
      <c r="T257" s="355">
        <v>99147</v>
      </c>
      <c r="U257" s="59">
        <f t="shared" si="24"/>
        <v>99147</v>
      </c>
      <c r="V257" s="59">
        <f t="shared" si="25"/>
        <v>119740</v>
      </c>
      <c r="W257" s="59">
        <f t="shared" si="26"/>
        <v>108467.1</v>
      </c>
      <c r="X257" s="60">
        <f t="shared" si="27"/>
        <v>82.80190412560547</v>
      </c>
      <c r="AC257" s="53"/>
      <c r="AL257" s="65">
        <f>_xlfn.IFERROR(INDEX('Tabela PW'!$T:$T,'Słownik PW'!C257,1),"")</f>
        <v>99147</v>
      </c>
    </row>
    <row r="258" spans="1:38" ht="15">
      <c r="A258" s="4" t="s">
        <v>232</v>
      </c>
      <c r="B258" s="5" t="s">
        <v>680</v>
      </c>
      <c r="C258" s="49" t="s">
        <v>277</v>
      </c>
      <c r="D258" s="349">
        <f aca="true" t="shared" si="28" ref="D258:D321">LEN(C258)</f>
        <v>22</v>
      </c>
      <c r="E258" s="350" t="s">
        <v>963</v>
      </c>
      <c r="F258" s="51" t="s">
        <v>123</v>
      </c>
      <c r="G258" s="351" t="s">
        <v>672</v>
      </c>
      <c r="H258" s="351" t="s">
        <v>1892</v>
      </c>
      <c r="I258" s="351" t="s">
        <v>1893</v>
      </c>
      <c r="J258" s="351" t="s">
        <v>3957</v>
      </c>
      <c r="K258" s="354">
        <v>1359418</v>
      </c>
      <c r="L258" s="355">
        <v>1333196</v>
      </c>
      <c r="M258" s="354">
        <v>1655426</v>
      </c>
      <c r="N258" s="355">
        <v>1465285</v>
      </c>
      <c r="O258" s="355">
        <v>1250391</v>
      </c>
      <c r="P258" s="355">
        <v>1324233</v>
      </c>
      <c r="Q258" s="355">
        <v>1230092</v>
      </c>
      <c r="R258" s="355">
        <v>1300253</v>
      </c>
      <c r="S258" s="355">
        <v>1045392</v>
      </c>
      <c r="T258" s="355">
        <v>1081357</v>
      </c>
      <c r="U258" s="59">
        <f t="shared" si="24"/>
        <v>1045392</v>
      </c>
      <c r="V258" s="59">
        <f t="shared" si="25"/>
        <v>1655426</v>
      </c>
      <c r="W258" s="59">
        <f t="shared" si="26"/>
        <v>1304504.3</v>
      </c>
      <c r="X258" s="60">
        <f t="shared" si="27"/>
        <v>79.5455849488531</v>
      </c>
      <c r="AC258" s="53"/>
      <c r="AL258" s="65">
        <f>_xlfn.IFERROR(INDEX('Tabela PW'!$T:$T,'Słownik PW'!C258,1),"")</f>
        <v>1081357</v>
      </c>
    </row>
    <row r="259" spans="1:38" ht="15">
      <c r="A259" s="4" t="s">
        <v>232</v>
      </c>
      <c r="B259" s="5" t="s">
        <v>680</v>
      </c>
      <c r="C259" s="49" t="s">
        <v>278</v>
      </c>
      <c r="D259" s="349">
        <f t="shared" si="28"/>
        <v>77</v>
      </c>
      <c r="E259" s="350" t="s">
        <v>964</v>
      </c>
      <c r="F259" s="51" t="s">
        <v>123</v>
      </c>
      <c r="G259" s="351" t="s">
        <v>672</v>
      </c>
      <c r="H259" s="351" t="s">
        <v>1894</v>
      </c>
      <c r="I259" s="351" t="s">
        <v>1895</v>
      </c>
      <c r="J259" s="351" t="s">
        <v>3958</v>
      </c>
      <c r="K259" s="354">
        <v>722870</v>
      </c>
      <c r="L259" s="355">
        <v>502656</v>
      </c>
      <c r="M259" s="354">
        <v>450726</v>
      </c>
      <c r="N259" s="355">
        <v>652663</v>
      </c>
      <c r="O259" s="355">
        <v>414946</v>
      </c>
      <c r="P259" s="355">
        <v>545224</v>
      </c>
      <c r="Q259" s="355">
        <v>637306</v>
      </c>
      <c r="R259" s="355">
        <v>822274</v>
      </c>
      <c r="S259" s="355">
        <v>736963</v>
      </c>
      <c r="T259" s="355">
        <v>597970</v>
      </c>
      <c r="U259" s="59">
        <f aca="true" t="shared" si="29" ref="U259:U322">MIN(K259:T259)</f>
        <v>414946</v>
      </c>
      <c r="V259" s="59">
        <f aca="true" t="shared" si="30" ref="V259:V322">MAX(K259:T259)</f>
        <v>822274</v>
      </c>
      <c r="W259" s="59">
        <f aca="true" t="shared" si="31" ref="W259:W322">AVERAGE(K259:T259)</f>
        <v>608359.8</v>
      </c>
      <c r="X259" s="60">
        <f aca="true" t="shared" si="32" ref="X259:X322">_xlfn.IFERROR(T259/K259*100,"-")</f>
        <v>82.72165119592735</v>
      </c>
      <c r="AC259" s="53"/>
      <c r="AL259" s="65">
        <f>_xlfn.IFERROR(INDEX('Tabela PW'!$T:$T,'Słownik PW'!C259,1),"")</f>
        <v>597970</v>
      </c>
    </row>
    <row r="260" spans="1:38" ht="15">
      <c r="A260" s="4" t="s">
        <v>232</v>
      </c>
      <c r="B260" s="5" t="s">
        <v>680</v>
      </c>
      <c r="C260" s="49" t="s">
        <v>279</v>
      </c>
      <c r="D260" s="349">
        <f t="shared" si="28"/>
        <v>13</v>
      </c>
      <c r="E260" s="350" t="s">
        <v>965</v>
      </c>
      <c r="F260" s="51" t="s">
        <v>25</v>
      </c>
      <c r="G260" s="351" t="s">
        <v>683</v>
      </c>
      <c r="H260" s="351" t="s">
        <v>1896</v>
      </c>
      <c r="I260" s="351" t="s">
        <v>1897</v>
      </c>
      <c r="J260" s="351" t="s">
        <v>3959</v>
      </c>
      <c r="K260" s="354">
        <v>6959863</v>
      </c>
      <c r="L260" s="355">
        <v>7389434</v>
      </c>
      <c r="M260" s="354">
        <v>7719324</v>
      </c>
      <c r="N260" s="355">
        <v>7340802</v>
      </c>
      <c r="O260" s="355">
        <v>7744006</v>
      </c>
      <c r="P260" s="355">
        <v>8171052</v>
      </c>
      <c r="Q260" s="355">
        <v>8164149</v>
      </c>
      <c r="R260" s="355">
        <v>8385124</v>
      </c>
      <c r="S260" s="355">
        <v>8229940</v>
      </c>
      <c r="T260" s="355">
        <v>8333837</v>
      </c>
      <c r="U260" s="59">
        <f t="shared" si="29"/>
        <v>6959863</v>
      </c>
      <c r="V260" s="59">
        <f t="shared" si="30"/>
        <v>8385124</v>
      </c>
      <c r="W260" s="59">
        <f t="shared" si="31"/>
        <v>7843753.1</v>
      </c>
      <c r="X260" s="60">
        <f t="shared" si="32"/>
        <v>119.74139433491722</v>
      </c>
      <c r="AC260" s="53"/>
      <c r="AL260" s="65">
        <f>_xlfn.IFERROR(INDEX('Tabela PW'!$T:$T,'Słownik PW'!C260,1),"")</f>
        <v>8333837</v>
      </c>
    </row>
    <row r="261" spans="1:38" ht="15">
      <c r="A261" s="4" t="s">
        <v>232</v>
      </c>
      <c r="B261" s="5" t="s">
        <v>680</v>
      </c>
      <c r="C261" s="49" t="s">
        <v>280</v>
      </c>
      <c r="D261" s="349">
        <f t="shared" si="28"/>
        <v>23</v>
      </c>
      <c r="E261" s="350" t="s">
        <v>966</v>
      </c>
      <c r="F261" s="51" t="s">
        <v>281</v>
      </c>
      <c r="G261" s="351" t="s">
        <v>691</v>
      </c>
      <c r="H261" s="351" t="s">
        <v>1898</v>
      </c>
      <c r="I261" s="351" t="s">
        <v>1899</v>
      </c>
      <c r="J261" s="351" t="s">
        <v>3960</v>
      </c>
      <c r="K261" s="354">
        <v>2209363</v>
      </c>
      <c r="L261" s="355">
        <v>2168123</v>
      </c>
      <c r="M261" s="354">
        <v>2322586</v>
      </c>
      <c r="N261" s="355">
        <v>2279669</v>
      </c>
      <c r="O261" s="355">
        <v>2365877</v>
      </c>
      <c r="P261" s="355">
        <v>2396255</v>
      </c>
      <c r="Q261" s="355">
        <v>2340058</v>
      </c>
      <c r="R261" s="355">
        <v>2403546</v>
      </c>
      <c r="S261" s="355">
        <v>2309992</v>
      </c>
      <c r="T261" s="355">
        <v>2331168</v>
      </c>
      <c r="U261" s="59">
        <f t="shared" si="29"/>
        <v>2168123</v>
      </c>
      <c r="V261" s="59">
        <f t="shared" si="30"/>
        <v>2403546</v>
      </c>
      <c r="W261" s="59">
        <f t="shared" si="31"/>
        <v>2312663.7</v>
      </c>
      <c r="X261" s="60">
        <f t="shared" si="32"/>
        <v>105.5131275394763</v>
      </c>
      <c r="AC261" s="53"/>
      <c r="AL261" s="65">
        <f>_xlfn.IFERROR(INDEX('Tabela PW'!$T:$T,'Słownik PW'!C261,1),"")</f>
        <v>2331168</v>
      </c>
    </row>
    <row r="262" spans="1:38" ht="15">
      <c r="A262" s="4" t="s">
        <v>232</v>
      </c>
      <c r="B262" s="5" t="s">
        <v>680</v>
      </c>
      <c r="C262" s="49" t="s">
        <v>282</v>
      </c>
      <c r="D262" s="349">
        <f t="shared" si="28"/>
        <v>26</v>
      </c>
      <c r="E262" s="350" t="s">
        <v>967</v>
      </c>
      <c r="F262" s="51" t="s">
        <v>283</v>
      </c>
      <c r="G262" s="351" t="s">
        <v>696</v>
      </c>
      <c r="H262" s="351" t="s">
        <v>1900</v>
      </c>
      <c r="I262" s="351" t="s">
        <v>1901</v>
      </c>
      <c r="J262" s="351" t="s">
        <v>3961</v>
      </c>
      <c r="K262" s="354">
        <v>989987</v>
      </c>
      <c r="L262" s="355">
        <v>1172298</v>
      </c>
      <c r="M262" s="354">
        <v>1269639</v>
      </c>
      <c r="N262" s="355">
        <v>1287824</v>
      </c>
      <c r="O262" s="355">
        <v>1320232</v>
      </c>
      <c r="P262" s="355">
        <v>1338704</v>
      </c>
      <c r="Q262" s="355">
        <v>1290855</v>
      </c>
      <c r="R262" s="355">
        <v>1344759</v>
      </c>
      <c r="S262" s="355">
        <v>1332809</v>
      </c>
      <c r="T262" s="355">
        <v>1301608</v>
      </c>
      <c r="U262" s="59">
        <f t="shared" si="29"/>
        <v>989987</v>
      </c>
      <c r="V262" s="59">
        <f t="shared" si="30"/>
        <v>1344759</v>
      </c>
      <c r="W262" s="59">
        <f t="shared" si="31"/>
        <v>1264871.5</v>
      </c>
      <c r="X262" s="60">
        <f t="shared" si="32"/>
        <v>131.4772820249155</v>
      </c>
      <c r="AC262" s="53"/>
      <c r="AL262" s="65">
        <f>_xlfn.IFERROR(INDEX('Tabela PW'!$T:$T,'Słownik PW'!C262,1),"")</f>
        <v>1301608</v>
      </c>
    </row>
    <row r="263" spans="1:38" ht="15">
      <c r="A263" s="4" t="s">
        <v>232</v>
      </c>
      <c r="B263" s="5" t="s">
        <v>680</v>
      </c>
      <c r="C263" s="49" t="s">
        <v>284</v>
      </c>
      <c r="D263" s="349">
        <f t="shared" si="28"/>
        <v>38</v>
      </c>
      <c r="E263" s="350" t="s">
        <v>968</v>
      </c>
      <c r="F263" s="51" t="s">
        <v>283</v>
      </c>
      <c r="G263" s="351" t="s">
        <v>696</v>
      </c>
      <c r="H263" s="351" t="s">
        <v>1902</v>
      </c>
      <c r="I263" s="351" t="s">
        <v>1903</v>
      </c>
      <c r="J263" s="351" t="s">
        <v>3962</v>
      </c>
      <c r="K263" s="354">
        <v>1069735</v>
      </c>
      <c r="L263" s="355">
        <v>1154285</v>
      </c>
      <c r="M263" s="354">
        <v>1256535</v>
      </c>
      <c r="N263" s="355">
        <v>1194327</v>
      </c>
      <c r="O263" s="355">
        <v>1330836</v>
      </c>
      <c r="P263" s="355">
        <v>1379119</v>
      </c>
      <c r="Q263" s="355">
        <v>1332230</v>
      </c>
      <c r="R263" s="355">
        <v>1434402</v>
      </c>
      <c r="S263" s="355">
        <v>1202425</v>
      </c>
      <c r="T263" s="355">
        <v>1148680</v>
      </c>
      <c r="U263" s="59">
        <f t="shared" si="29"/>
        <v>1069735</v>
      </c>
      <c r="V263" s="59">
        <f t="shared" si="30"/>
        <v>1434402</v>
      </c>
      <c r="W263" s="59">
        <f t="shared" si="31"/>
        <v>1250257.4</v>
      </c>
      <c r="X263" s="60">
        <f t="shared" si="32"/>
        <v>107.37986510677877</v>
      </c>
      <c r="AC263" s="53"/>
      <c r="AL263" s="65">
        <f>_xlfn.IFERROR(INDEX('Tabela PW'!$T:$T,'Słownik PW'!C263,1),"")</f>
        <v>1148680</v>
      </c>
    </row>
    <row r="264" spans="1:38" ht="15">
      <c r="A264" s="4" t="s">
        <v>232</v>
      </c>
      <c r="B264" s="5" t="s">
        <v>680</v>
      </c>
      <c r="C264" s="49" t="s">
        <v>285</v>
      </c>
      <c r="D264" s="349">
        <f t="shared" si="28"/>
        <v>38</v>
      </c>
      <c r="E264" s="350" t="s">
        <v>969</v>
      </c>
      <c r="F264" s="51" t="s">
        <v>25</v>
      </c>
      <c r="G264" s="351" t="s">
        <v>683</v>
      </c>
      <c r="H264" s="351" t="s">
        <v>1904</v>
      </c>
      <c r="I264" s="351" t="s">
        <v>1905</v>
      </c>
      <c r="J264" s="351" t="s">
        <v>3963</v>
      </c>
      <c r="K264" s="354">
        <v>4708955</v>
      </c>
      <c r="L264" s="355">
        <v>4986790</v>
      </c>
      <c r="M264" s="354">
        <v>5454509</v>
      </c>
      <c r="N264" s="355">
        <v>5406997</v>
      </c>
      <c r="O264" s="355">
        <v>5697547</v>
      </c>
      <c r="P264" s="355">
        <v>5858052</v>
      </c>
      <c r="Q264" s="355">
        <v>5788574</v>
      </c>
      <c r="R264" s="355">
        <v>6046694</v>
      </c>
      <c r="S264" s="355">
        <v>6003292</v>
      </c>
      <c r="T264" s="355">
        <v>5970890</v>
      </c>
      <c r="U264" s="59">
        <f t="shared" si="29"/>
        <v>4708955</v>
      </c>
      <c r="V264" s="59">
        <f t="shared" si="30"/>
        <v>6046694</v>
      </c>
      <c r="W264" s="59">
        <f t="shared" si="31"/>
        <v>5592230</v>
      </c>
      <c r="X264" s="60">
        <f t="shared" si="32"/>
        <v>126.79862092544948</v>
      </c>
      <c r="AC264" s="53"/>
      <c r="AL264" s="65">
        <f>_xlfn.IFERROR(INDEX('Tabela PW'!$T:$T,'Słownik PW'!C264,1),"")</f>
        <v>5970890</v>
      </c>
    </row>
    <row r="265" spans="1:38" ht="15">
      <c r="A265" s="4" t="s">
        <v>232</v>
      </c>
      <c r="B265" s="5" t="s">
        <v>680</v>
      </c>
      <c r="C265" s="49" t="s">
        <v>286</v>
      </c>
      <c r="D265" s="349">
        <f t="shared" si="28"/>
        <v>86</v>
      </c>
      <c r="E265" s="350" t="s">
        <v>970</v>
      </c>
      <c r="F265" s="51" t="s">
        <v>287</v>
      </c>
      <c r="G265" s="351" t="s">
        <v>693</v>
      </c>
      <c r="H265" s="351" t="s">
        <v>1906</v>
      </c>
      <c r="I265" s="351" t="s">
        <v>1907</v>
      </c>
      <c r="J265" s="351" t="s">
        <v>3964</v>
      </c>
      <c r="K265" s="354">
        <v>1636551</v>
      </c>
      <c r="L265" s="355">
        <v>1765896</v>
      </c>
      <c r="M265" s="354">
        <v>1879790</v>
      </c>
      <c r="N265" s="355">
        <v>1833620</v>
      </c>
      <c r="O265" s="355">
        <v>1948991</v>
      </c>
      <c r="P265" s="355">
        <v>2010160</v>
      </c>
      <c r="Q265" s="355">
        <v>1966820</v>
      </c>
      <c r="R265" s="355">
        <v>2057909</v>
      </c>
      <c r="S265" s="355">
        <v>2023411</v>
      </c>
      <c r="T265" s="355">
        <v>2006141</v>
      </c>
      <c r="U265" s="59">
        <f t="shared" si="29"/>
        <v>1636551</v>
      </c>
      <c r="V265" s="59">
        <f t="shared" si="30"/>
        <v>2057909</v>
      </c>
      <c r="W265" s="59">
        <f t="shared" si="31"/>
        <v>1912928.9</v>
      </c>
      <c r="X265" s="60">
        <f t="shared" si="32"/>
        <v>122.58346974826937</v>
      </c>
      <c r="AC265" s="53"/>
      <c r="AL265" s="65">
        <f>_xlfn.IFERROR(INDEX('Tabela PW'!$T:$T,'Słownik PW'!C265,1),"")</f>
        <v>2006141</v>
      </c>
    </row>
    <row r="266" spans="1:38" ht="15">
      <c r="A266" s="4" t="s">
        <v>232</v>
      </c>
      <c r="B266" s="5" t="s">
        <v>680</v>
      </c>
      <c r="C266" s="49" t="s">
        <v>288</v>
      </c>
      <c r="D266" s="349">
        <f t="shared" si="28"/>
        <v>14</v>
      </c>
      <c r="E266" s="350" t="s">
        <v>971</v>
      </c>
      <c r="F266" s="51" t="s">
        <v>25</v>
      </c>
      <c r="G266" s="351" t="s">
        <v>683</v>
      </c>
      <c r="H266" s="351" t="s">
        <v>1908</v>
      </c>
      <c r="I266" s="351" t="s">
        <v>1909</v>
      </c>
      <c r="J266" s="351" t="s">
        <v>3965</v>
      </c>
      <c r="K266" s="354">
        <v>612368</v>
      </c>
      <c r="L266" s="355">
        <v>621727</v>
      </c>
      <c r="M266" s="354">
        <v>616685</v>
      </c>
      <c r="N266" s="355">
        <v>609309</v>
      </c>
      <c r="O266" s="355">
        <v>634308</v>
      </c>
      <c r="P266" s="355">
        <v>623723</v>
      </c>
      <c r="Q266" s="355">
        <v>618470</v>
      </c>
      <c r="R266" s="355">
        <v>608502</v>
      </c>
      <c r="S266" s="355">
        <v>622544</v>
      </c>
      <c r="T266" s="355">
        <v>620427</v>
      </c>
      <c r="U266" s="59">
        <f t="shared" si="29"/>
        <v>608502</v>
      </c>
      <c r="V266" s="59">
        <f t="shared" si="30"/>
        <v>634308</v>
      </c>
      <c r="W266" s="59">
        <f t="shared" si="31"/>
        <v>618806.3</v>
      </c>
      <c r="X266" s="60">
        <f t="shared" si="32"/>
        <v>101.31603872181434</v>
      </c>
      <c r="AC266" s="53"/>
      <c r="AL266" s="65">
        <f>_xlfn.IFERROR(INDEX('Tabela PW'!$T:$T,'Słownik PW'!C266,1),"")</f>
        <v>620427</v>
      </c>
    </row>
    <row r="267" spans="1:38" ht="15">
      <c r="A267" s="4" t="s">
        <v>232</v>
      </c>
      <c r="B267" s="5" t="s">
        <v>680</v>
      </c>
      <c r="C267" s="49" t="s">
        <v>288</v>
      </c>
      <c r="D267" s="349">
        <f t="shared" si="28"/>
        <v>14</v>
      </c>
      <c r="E267" s="350" t="s">
        <v>972</v>
      </c>
      <c r="F267" s="51" t="s">
        <v>287</v>
      </c>
      <c r="G267" s="351" t="s">
        <v>693</v>
      </c>
      <c r="H267" s="351" t="s">
        <v>1910</v>
      </c>
      <c r="I267" s="351" t="s">
        <v>1911</v>
      </c>
      <c r="J267" s="351" t="s">
        <v>3966</v>
      </c>
      <c r="K267" s="354">
        <v>127837</v>
      </c>
      <c r="L267" s="355">
        <v>129818</v>
      </c>
      <c r="M267" s="354">
        <v>128895</v>
      </c>
      <c r="N267" s="355">
        <v>127613</v>
      </c>
      <c r="O267" s="355">
        <v>132633</v>
      </c>
      <c r="P267" s="355">
        <v>130453</v>
      </c>
      <c r="Q267" s="355">
        <v>129337</v>
      </c>
      <c r="R267" s="355">
        <v>127328</v>
      </c>
      <c r="S267" s="355">
        <v>130255</v>
      </c>
      <c r="T267" s="355">
        <v>129803</v>
      </c>
      <c r="U267" s="59">
        <f t="shared" si="29"/>
        <v>127328</v>
      </c>
      <c r="V267" s="59">
        <f t="shared" si="30"/>
        <v>132633</v>
      </c>
      <c r="W267" s="59">
        <f t="shared" si="31"/>
        <v>129397.2</v>
      </c>
      <c r="X267" s="60">
        <f t="shared" si="32"/>
        <v>101.5378959143284</v>
      </c>
      <c r="AC267" s="53"/>
      <c r="AL267" s="65">
        <f>_xlfn.IFERROR(INDEX('Tabela PW'!$T:$T,'Słownik PW'!C267,1),"")</f>
        <v>129803</v>
      </c>
    </row>
    <row r="268" spans="1:38" ht="15">
      <c r="A268" s="4" t="s">
        <v>232</v>
      </c>
      <c r="B268" s="5" t="s">
        <v>680</v>
      </c>
      <c r="C268" s="49" t="s">
        <v>289</v>
      </c>
      <c r="D268" s="349">
        <f t="shared" si="28"/>
        <v>122</v>
      </c>
      <c r="E268" s="350" t="s">
        <v>973</v>
      </c>
      <c r="F268" s="51" t="s">
        <v>25</v>
      </c>
      <c r="G268" s="351" t="s">
        <v>683</v>
      </c>
      <c r="H268" s="351" t="s">
        <v>1912</v>
      </c>
      <c r="I268" s="351" t="s">
        <v>1913</v>
      </c>
      <c r="J268" s="351" t="s">
        <v>3967</v>
      </c>
      <c r="K268" s="354">
        <v>1322542</v>
      </c>
      <c r="L268" s="355">
        <v>1323881</v>
      </c>
      <c r="M268" s="354">
        <v>1389384</v>
      </c>
      <c r="N268" s="355">
        <v>1272265</v>
      </c>
      <c r="O268" s="355">
        <v>1341101</v>
      </c>
      <c r="P268" s="355">
        <v>1364436</v>
      </c>
      <c r="Q268" s="355">
        <v>1299529</v>
      </c>
      <c r="R268" s="355">
        <v>1327622</v>
      </c>
      <c r="S268" s="355">
        <v>1292653</v>
      </c>
      <c r="T268" s="355">
        <v>1285097</v>
      </c>
      <c r="U268" s="59">
        <f t="shared" si="29"/>
        <v>1272265</v>
      </c>
      <c r="V268" s="59">
        <f t="shared" si="30"/>
        <v>1389384</v>
      </c>
      <c r="W268" s="59">
        <f t="shared" si="31"/>
        <v>1321851</v>
      </c>
      <c r="X268" s="60">
        <f t="shared" si="32"/>
        <v>97.1687099540128</v>
      </c>
      <c r="AC268" s="53"/>
      <c r="AL268" s="65">
        <f>_xlfn.IFERROR(INDEX('Tabela PW'!$T:$T,'Słownik PW'!C268,1),"")</f>
        <v>1285097</v>
      </c>
    </row>
    <row r="269" spans="1:38" ht="15">
      <c r="A269" s="4" t="s">
        <v>232</v>
      </c>
      <c r="B269" s="5" t="s">
        <v>680</v>
      </c>
      <c r="C269" s="49" t="s">
        <v>289</v>
      </c>
      <c r="D269" s="349">
        <f t="shared" si="28"/>
        <v>122</v>
      </c>
      <c r="E269" s="350" t="s">
        <v>974</v>
      </c>
      <c r="F269" s="51" t="s">
        <v>287</v>
      </c>
      <c r="G269" s="351" t="s">
        <v>693</v>
      </c>
      <c r="H269" s="351" t="s">
        <v>1914</v>
      </c>
      <c r="I269" s="351" t="s">
        <v>1915</v>
      </c>
      <c r="J269" s="351" t="s">
        <v>3968</v>
      </c>
      <c r="K269" s="354">
        <v>454474</v>
      </c>
      <c r="L269" s="355">
        <v>455014</v>
      </c>
      <c r="M269" s="354">
        <v>485760</v>
      </c>
      <c r="N269" s="355">
        <v>432634</v>
      </c>
      <c r="O269" s="355">
        <v>455920</v>
      </c>
      <c r="P269" s="355">
        <v>461752</v>
      </c>
      <c r="Q269" s="355">
        <v>441840</v>
      </c>
      <c r="R269" s="355">
        <v>451386</v>
      </c>
      <c r="S269" s="355">
        <v>439502</v>
      </c>
      <c r="T269" s="355">
        <v>436933</v>
      </c>
      <c r="U269" s="59">
        <f t="shared" si="29"/>
        <v>432634</v>
      </c>
      <c r="V269" s="59">
        <f t="shared" si="30"/>
        <v>485760</v>
      </c>
      <c r="W269" s="59">
        <f t="shared" si="31"/>
        <v>451521.5</v>
      </c>
      <c r="X269" s="60">
        <f t="shared" si="32"/>
        <v>96.14037326667753</v>
      </c>
      <c r="AC269" s="53"/>
      <c r="AL269" s="65">
        <f>_xlfn.IFERROR(INDEX('Tabela PW'!$T:$T,'Słownik PW'!C269,1),"")</f>
        <v>436933</v>
      </c>
    </row>
    <row r="270" spans="1:38" ht="15">
      <c r="A270" s="4" t="s">
        <v>232</v>
      </c>
      <c r="B270" s="5" t="s">
        <v>680</v>
      </c>
      <c r="C270" s="49" t="s">
        <v>290</v>
      </c>
      <c r="D270" s="349">
        <f t="shared" si="28"/>
        <v>90</v>
      </c>
      <c r="E270" s="350" t="s">
        <v>975</v>
      </c>
      <c r="F270" s="51" t="s">
        <v>25</v>
      </c>
      <c r="G270" s="351" t="s">
        <v>683</v>
      </c>
      <c r="H270" s="351" t="s">
        <v>1916</v>
      </c>
      <c r="I270" s="351" t="s">
        <v>1917</v>
      </c>
      <c r="J270" s="351" t="s">
        <v>3969</v>
      </c>
      <c r="K270" s="354">
        <v>1300992</v>
      </c>
      <c r="L270" s="355">
        <v>1107939</v>
      </c>
      <c r="M270" s="354">
        <v>1170930</v>
      </c>
      <c r="N270" s="355">
        <v>1243291</v>
      </c>
      <c r="O270" s="355">
        <v>1332263</v>
      </c>
      <c r="P270" s="355">
        <v>1350715</v>
      </c>
      <c r="Q270" s="355">
        <v>1299881</v>
      </c>
      <c r="R270" s="355">
        <v>1265831</v>
      </c>
      <c r="S270" s="355">
        <v>1188633</v>
      </c>
      <c r="T270" s="355">
        <v>1244401</v>
      </c>
      <c r="U270" s="59">
        <f t="shared" si="29"/>
        <v>1107939</v>
      </c>
      <c r="V270" s="59">
        <f t="shared" si="30"/>
        <v>1350715</v>
      </c>
      <c r="W270" s="59">
        <f t="shared" si="31"/>
        <v>1250487.6</v>
      </c>
      <c r="X270" s="60">
        <f t="shared" si="32"/>
        <v>95.65016541223928</v>
      </c>
      <c r="AC270" s="53"/>
      <c r="AL270" s="65">
        <f>_xlfn.IFERROR(INDEX('Tabela PW'!$T:$T,'Słownik PW'!C270,1),"")</f>
        <v>1244401</v>
      </c>
    </row>
    <row r="271" spans="1:38" ht="15">
      <c r="A271" s="4" t="s">
        <v>232</v>
      </c>
      <c r="B271" s="5" t="s">
        <v>680</v>
      </c>
      <c r="C271" s="49" t="s">
        <v>290</v>
      </c>
      <c r="D271" s="349">
        <f t="shared" si="28"/>
        <v>90</v>
      </c>
      <c r="E271" s="350" t="s">
        <v>976</v>
      </c>
      <c r="F271" s="51" t="s">
        <v>291</v>
      </c>
      <c r="G271" s="351" t="s">
        <v>662</v>
      </c>
      <c r="H271" s="351" t="s">
        <v>1918</v>
      </c>
      <c r="I271" s="351" t="s">
        <v>1919</v>
      </c>
      <c r="J271" s="351" t="s">
        <v>3970</v>
      </c>
      <c r="K271" s="354">
        <v>1019233</v>
      </c>
      <c r="L271" s="355">
        <v>941847</v>
      </c>
      <c r="M271" s="354">
        <v>1202707</v>
      </c>
      <c r="N271" s="355">
        <v>1340218</v>
      </c>
      <c r="O271" s="355">
        <v>1437341</v>
      </c>
      <c r="P271" s="355">
        <v>1467484</v>
      </c>
      <c r="Q271" s="355">
        <v>1403072</v>
      </c>
      <c r="R271" s="355">
        <v>1337792</v>
      </c>
      <c r="S271" s="355">
        <v>1273374</v>
      </c>
      <c r="T271" s="355">
        <v>1338823</v>
      </c>
      <c r="U271" s="59">
        <f t="shared" si="29"/>
        <v>941847</v>
      </c>
      <c r="V271" s="59">
        <f t="shared" si="30"/>
        <v>1467484</v>
      </c>
      <c r="W271" s="59">
        <f t="shared" si="31"/>
        <v>1276189.1</v>
      </c>
      <c r="X271" s="60">
        <f t="shared" si="32"/>
        <v>131.3559313719238</v>
      </c>
      <c r="AC271" s="53"/>
      <c r="AL271" s="65">
        <f>_xlfn.IFERROR(INDEX('Tabela PW'!$T:$T,'Słownik PW'!C271,1),"")</f>
        <v>1338823</v>
      </c>
    </row>
    <row r="272" spans="1:38" ht="15">
      <c r="A272" s="4" t="s">
        <v>232</v>
      </c>
      <c r="B272" s="5" t="s">
        <v>680</v>
      </c>
      <c r="C272" s="49" t="s">
        <v>290</v>
      </c>
      <c r="D272" s="349">
        <f t="shared" si="28"/>
        <v>90</v>
      </c>
      <c r="E272" s="350" t="s">
        <v>977</v>
      </c>
      <c r="F272" s="51" t="s">
        <v>287</v>
      </c>
      <c r="G272" s="351" t="s">
        <v>693</v>
      </c>
      <c r="H272" s="351" t="s">
        <v>1920</v>
      </c>
      <c r="I272" s="351" t="s">
        <v>1921</v>
      </c>
      <c r="J272" s="351" t="s">
        <v>3971</v>
      </c>
      <c r="K272" s="354">
        <v>351119</v>
      </c>
      <c r="L272" s="355">
        <v>303418</v>
      </c>
      <c r="M272" s="354">
        <v>300677</v>
      </c>
      <c r="N272" s="355">
        <v>335054</v>
      </c>
      <c r="O272" s="355">
        <v>359335</v>
      </c>
      <c r="P272" s="355">
        <v>366871</v>
      </c>
      <c r="Q272" s="355">
        <v>350768</v>
      </c>
      <c r="R272" s="355">
        <v>334448</v>
      </c>
      <c r="S272" s="355">
        <v>318343</v>
      </c>
      <c r="T272" s="355">
        <v>334890</v>
      </c>
      <c r="U272" s="59">
        <f t="shared" si="29"/>
        <v>300677</v>
      </c>
      <c r="V272" s="59">
        <f t="shared" si="30"/>
        <v>366871</v>
      </c>
      <c r="W272" s="59">
        <f t="shared" si="31"/>
        <v>335492.3</v>
      </c>
      <c r="X272" s="60">
        <f t="shared" si="32"/>
        <v>95.37792030622097</v>
      </c>
      <c r="AC272" s="53"/>
      <c r="AL272" s="65">
        <f>_xlfn.IFERROR(INDEX('Tabela PW'!$T:$T,'Słownik PW'!C272,1),"")</f>
        <v>334890</v>
      </c>
    </row>
    <row r="273" spans="1:38" ht="15">
      <c r="A273" s="4" t="s">
        <v>232</v>
      </c>
      <c r="B273" s="5" t="s">
        <v>680</v>
      </c>
      <c r="C273" s="49" t="s">
        <v>292</v>
      </c>
      <c r="D273" s="349">
        <f t="shared" si="28"/>
        <v>87</v>
      </c>
      <c r="E273" s="350" t="s">
        <v>978</v>
      </c>
      <c r="F273" s="51" t="s">
        <v>25</v>
      </c>
      <c r="G273" s="351" t="s">
        <v>683</v>
      </c>
      <c r="H273" s="351" t="s">
        <v>1922</v>
      </c>
      <c r="I273" s="351" t="s">
        <v>1923</v>
      </c>
      <c r="J273" s="351" t="s">
        <v>3972</v>
      </c>
      <c r="K273" s="354">
        <v>173084</v>
      </c>
      <c r="L273" s="355">
        <v>250059</v>
      </c>
      <c r="M273" s="354">
        <v>316352</v>
      </c>
      <c r="N273" s="355">
        <v>325362</v>
      </c>
      <c r="O273" s="355">
        <v>315691</v>
      </c>
      <c r="P273" s="355">
        <v>309220</v>
      </c>
      <c r="Q273" s="355">
        <v>317929</v>
      </c>
      <c r="R273" s="355">
        <v>316386</v>
      </c>
      <c r="S273" s="355">
        <v>320810</v>
      </c>
      <c r="T273" s="355">
        <v>324179</v>
      </c>
      <c r="U273" s="59">
        <f t="shared" si="29"/>
        <v>173084</v>
      </c>
      <c r="V273" s="59">
        <f t="shared" si="30"/>
        <v>325362</v>
      </c>
      <c r="W273" s="59">
        <f t="shared" si="31"/>
        <v>296907.2</v>
      </c>
      <c r="X273" s="60">
        <f t="shared" si="32"/>
        <v>187.29576390654248</v>
      </c>
      <c r="AC273" s="53"/>
      <c r="AL273" s="65">
        <f>_xlfn.IFERROR(INDEX('Tabela PW'!$T:$T,'Słownik PW'!C273,1),"")</f>
        <v>324179</v>
      </c>
    </row>
    <row r="274" spans="1:38" ht="15">
      <c r="A274" s="4" t="s">
        <v>232</v>
      </c>
      <c r="B274" s="5" t="s">
        <v>680</v>
      </c>
      <c r="C274" s="49" t="s">
        <v>292</v>
      </c>
      <c r="D274" s="349">
        <f t="shared" si="28"/>
        <v>87</v>
      </c>
      <c r="E274" s="350" t="s">
        <v>979</v>
      </c>
      <c r="F274" s="51" t="s">
        <v>291</v>
      </c>
      <c r="G274" s="351" t="s">
        <v>662</v>
      </c>
      <c r="H274" s="351" t="s">
        <v>1924</v>
      </c>
      <c r="I274" s="351" t="s">
        <v>1925</v>
      </c>
      <c r="J274" s="351" t="s">
        <v>3973</v>
      </c>
      <c r="K274" s="354">
        <v>207686</v>
      </c>
      <c r="L274" s="355">
        <v>317468</v>
      </c>
      <c r="M274" s="354">
        <v>402056</v>
      </c>
      <c r="N274" s="355">
        <v>414986</v>
      </c>
      <c r="O274" s="355">
        <v>403640</v>
      </c>
      <c r="P274" s="355">
        <v>395683</v>
      </c>
      <c r="Q274" s="355">
        <v>406511</v>
      </c>
      <c r="R274" s="355">
        <v>404416</v>
      </c>
      <c r="S274" s="355">
        <v>410257</v>
      </c>
      <c r="T274" s="355">
        <v>415640</v>
      </c>
      <c r="U274" s="59">
        <f t="shared" si="29"/>
        <v>207686</v>
      </c>
      <c r="V274" s="59">
        <f t="shared" si="30"/>
        <v>415640</v>
      </c>
      <c r="W274" s="59">
        <f t="shared" si="31"/>
        <v>377834.3</v>
      </c>
      <c r="X274" s="60">
        <f t="shared" si="32"/>
        <v>200.12904095605867</v>
      </c>
      <c r="AC274" s="53"/>
      <c r="AL274" s="65">
        <f>_xlfn.IFERROR(INDEX('Tabela PW'!$T:$T,'Słownik PW'!C274,1),"")</f>
        <v>415640</v>
      </c>
    </row>
    <row r="275" spans="1:38" ht="15">
      <c r="A275" s="4" t="s">
        <v>232</v>
      </c>
      <c r="B275" s="5" t="s">
        <v>680</v>
      </c>
      <c r="C275" s="49" t="s">
        <v>292</v>
      </c>
      <c r="D275" s="349">
        <f t="shared" si="28"/>
        <v>87</v>
      </c>
      <c r="E275" s="350" t="s">
        <v>980</v>
      </c>
      <c r="F275" s="51" t="s">
        <v>287</v>
      </c>
      <c r="G275" s="351" t="s">
        <v>693</v>
      </c>
      <c r="H275" s="351" t="s">
        <v>1926</v>
      </c>
      <c r="I275" s="351" t="s">
        <v>1927</v>
      </c>
      <c r="J275" s="351" t="s">
        <v>3974</v>
      </c>
      <c r="K275" s="354">
        <v>55281</v>
      </c>
      <c r="L275" s="355">
        <v>79367</v>
      </c>
      <c r="M275" s="354">
        <v>100514</v>
      </c>
      <c r="N275" s="355">
        <v>103746</v>
      </c>
      <c r="O275" s="355">
        <v>100910</v>
      </c>
      <c r="P275" s="355">
        <v>98921</v>
      </c>
      <c r="Q275" s="355">
        <v>101628</v>
      </c>
      <c r="R275" s="355">
        <v>101104</v>
      </c>
      <c r="S275" s="355">
        <v>102565</v>
      </c>
      <c r="T275" s="355">
        <v>103911</v>
      </c>
      <c r="U275" s="59">
        <f t="shared" si="29"/>
        <v>55281</v>
      </c>
      <c r="V275" s="59">
        <f t="shared" si="30"/>
        <v>103911</v>
      </c>
      <c r="W275" s="59">
        <f t="shared" si="31"/>
        <v>94794.7</v>
      </c>
      <c r="X275" s="60">
        <f t="shared" si="32"/>
        <v>187.96874152059476</v>
      </c>
      <c r="AC275" s="53"/>
      <c r="AL275" s="65">
        <f>_xlfn.IFERROR(INDEX('Tabela PW'!$T:$T,'Słownik PW'!C275,1),"")</f>
        <v>103911</v>
      </c>
    </row>
    <row r="276" spans="1:38" ht="15">
      <c r="A276" s="4" t="s">
        <v>232</v>
      </c>
      <c r="B276" s="5" t="s">
        <v>680</v>
      </c>
      <c r="C276" s="49" t="s">
        <v>293</v>
      </c>
      <c r="D276" s="349">
        <f t="shared" si="28"/>
        <v>41</v>
      </c>
      <c r="E276" s="350" t="s">
        <v>981</v>
      </c>
      <c r="F276" s="51" t="s">
        <v>25</v>
      </c>
      <c r="G276" s="351" t="s">
        <v>683</v>
      </c>
      <c r="H276" s="351" t="s">
        <v>1928</v>
      </c>
      <c r="I276" s="351" t="s">
        <v>1929</v>
      </c>
      <c r="J276" s="351" t="s">
        <v>3975</v>
      </c>
      <c r="K276" s="354">
        <v>310421</v>
      </c>
      <c r="L276" s="355">
        <v>392182</v>
      </c>
      <c r="M276" s="354">
        <v>375835</v>
      </c>
      <c r="N276" s="355">
        <v>311122</v>
      </c>
      <c r="O276" s="355">
        <v>366249</v>
      </c>
      <c r="P276" s="355">
        <v>376556</v>
      </c>
      <c r="Q276" s="355">
        <v>403094</v>
      </c>
      <c r="R276" s="355">
        <v>363056</v>
      </c>
      <c r="S276" s="355">
        <v>390306</v>
      </c>
      <c r="T276" s="355">
        <v>460745</v>
      </c>
      <c r="U276" s="59">
        <f t="shared" si="29"/>
        <v>310421</v>
      </c>
      <c r="V276" s="59">
        <f t="shared" si="30"/>
        <v>460745</v>
      </c>
      <c r="W276" s="59">
        <f t="shared" si="31"/>
        <v>374956.6</v>
      </c>
      <c r="X276" s="60">
        <f t="shared" si="32"/>
        <v>148.42584747810233</v>
      </c>
      <c r="AC276" s="53"/>
      <c r="AL276" s="65">
        <f>_xlfn.IFERROR(INDEX('Tabela PW'!$T:$T,'Słownik PW'!C276,1),"")</f>
        <v>460745</v>
      </c>
    </row>
    <row r="277" spans="1:38" ht="15">
      <c r="A277" s="4" t="s">
        <v>232</v>
      </c>
      <c r="B277" s="5" t="s">
        <v>680</v>
      </c>
      <c r="C277" s="49" t="s">
        <v>294</v>
      </c>
      <c r="D277" s="349">
        <f t="shared" si="28"/>
        <v>46</v>
      </c>
      <c r="E277" s="350" t="s">
        <v>982</v>
      </c>
      <c r="F277" s="51" t="s">
        <v>247</v>
      </c>
      <c r="G277" s="351" t="s">
        <v>697</v>
      </c>
      <c r="H277" s="351" t="s">
        <v>1930</v>
      </c>
      <c r="I277" s="351" t="s">
        <v>1931</v>
      </c>
      <c r="J277" s="351" t="s">
        <v>3976</v>
      </c>
      <c r="K277" s="354">
        <v>486399</v>
      </c>
      <c r="L277" s="355">
        <v>537508</v>
      </c>
      <c r="M277" s="354">
        <v>473926</v>
      </c>
      <c r="N277" s="355">
        <v>371768</v>
      </c>
      <c r="O277" s="355">
        <v>413329</v>
      </c>
      <c r="P277" s="355">
        <v>475265</v>
      </c>
      <c r="Q277" s="355">
        <v>475114</v>
      </c>
      <c r="R277" s="355">
        <v>469098</v>
      </c>
      <c r="S277" s="355">
        <v>441591</v>
      </c>
      <c r="T277" s="355">
        <v>474011</v>
      </c>
      <c r="U277" s="59">
        <f t="shared" si="29"/>
        <v>371768</v>
      </c>
      <c r="V277" s="59">
        <f t="shared" si="30"/>
        <v>537508</v>
      </c>
      <c r="W277" s="59">
        <f t="shared" si="31"/>
        <v>461800.9</v>
      </c>
      <c r="X277" s="60">
        <f t="shared" si="32"/>
        <v>97.4531197638153</v>
      </c>
      <c r="AC277" s="53"/>
      <c r="AL277" s="65">
        <f>_xlfn.IFERROR(INDEX('Tabela PW'!$T:$T,'Słownik PW'!C277,1),"")</f>
        <v>474011</v>
      </c>
    </row>
    <row r="278" spans="1:38" ht="15">
      <c r="A278" s="4" t="s">
        <v>232</v>
      </c>
      <c r="B278" s="5" t="s">
        <v>680</v>
      </c>
      <c r="C278" s="49" t="s">
        <v>295</v>
      </c>
      <c r="D278" s="349">
        <f t="shared" si="28"/>
        <v>12</v>
      </c>
      <c r="E278" s="350" t="s">
        <v>983</v>
      </c>
      <c r="F278" s="51" t="s">
        <v>25</v>
      </c>
      <c r="G278" s="351" t="s">
        <v>683</v>
      </c>
      <c r="H278" s="351" t="s">
        <v>1932</v>
      </c>
      <c r="I278" s="351" t="s">
        <v>1933</v>
      </c>
      <c r="J278" s="351" t="s">
        <v>3977</v>
      </c>
      <c r="K278" s="354">
        <v>309348</v>
      </c>
      <c r="L278" s="355">
        <v>391128</v>
      </c>
      <c r="M278" s="354">
        <v>374829</v>
      </c>
      <c r="N278" s="355">
        <v>310753</v>
      </c>
      <c r="O278" s="355">
        <v>365851</v>
      </c>
      <c r="P278" s="355">
        <v>376533</v>
      </c>
      <c r="Q278" s="355">
        <v>403032</v>
      </c>
      <c r="R278" s="355">
        <v>362978</v>
      </c>
      <c r="S278" s="355">
        <v>390281</v>
      </c>
      <c r="T278" s="355">
        <v>460536</v>
      </c>
      <c r="U278" s="59">
        <f t="shared" si="29"/>
        <v>309348</v>
      </c>
      <c r="V278" s="59">
        <f t="shared" si="30"/>
        <v>460536</v>
      </c>
      <c r="W278" s="59">
        <f t="shared" si="31"/>
        <v>374526.9</v>
      </c>
      <c r="X278" s="60">
        <f t="shared" si="32"/>
        <v>148.87311377477792</v>
      </c>
      <c r="AC278" s="53"/>
      <c r="AL278" s="65">
        <f>_xlfn.IFERROR(INDEX('Tabela PW'!$T:$T,'Słownik PW'!C278,1),"")</f>
        <v>460536</v>
      </c>
    </row>
    <row r="279" spans="1:38" ht="15">
      <c r="A279" s="4" t="s">
        <v>232</v>
      </c>
      <c r="B279" s="5" t="s">
        <v>680</v>
      </c>
      <c r="C279" s="49" t="s">
        <v>295</v>
      </c>
      <c r="D279" s="349">
        <f t="shared" si="28"/>
        <v>12</v>
      </c>
      <c r="E279" s="350" t="s">
        <v>984</v>
      </c>
      <c r="F279" s="51" t="s">
        <v>247</v>
      </c>
      <c r="G279" s="351" t="s">
        <v>697</v>
      </c>
      <c r="H279" s="351" t="s">
        <v>1934</v>
      </c>
      <c r="I279" s="351" t="s">
        <v>1935</v>
      </c>
      <c r="J279" s="351" t="s">
        <v>3978</v>
      </c>
      <c r="K279" s="354">
        <v>69464</v>
      </c>
      <c r="L279" s="355">
        <v>88396</v>
      </c>
      <c r="M279" s="354">
        <v>85858</v>
      </c>
      <c r="N279" s="355">
        <v>66617</v>
      </c>
      <c r="O279" s="355">
        <v>81767</v>
      </c>
      <c r="P279" s="355">
        <v>90456</v>
      </c>
      <c r="Q279" s="355">
        <v>86259</v>
      </c>
      <c r="R279" s="355">
        <v>76665</v>
      </c>
      <c r="S279" s="355">
        <v>83652</v>
      </c>
      <c r="T279" s="355">
        <v>92908</v>
      </c>
      <c r="U279" s="59">
        <f t="shared" si="29"/>
        <v>66617</v>
      </c>
      <c r="V279" s="59">
        <f t="shared" si="30"/>
        <v>92908</v>
      </c>
      <c r="W279" s="59">
        <f t="shared" si="31"/>
        <v>82204.2</v>
      </c>
      <c r="X279" s="60">
        <f t="shared" si="32"/>
        <v>133.749856040539</v>
      </c>
      <c r="AC279" s="53"/>
      <c r="AL279" s="65">
        <f>_xlfn.IFERROR(INDEX('Tabela PW'!$T:$T,'Słownik PW'!C279,1),"")</f>
        <v>92908</v>
      </c>
    </row>
    <row r="280" spans="1:38" ht="15">
      <c r="A280" s="4" t="s">
        <v>232</v>
      </c>
      <c r="B280" s="5" t="s">
        <v>680</v>
      </c>
      <c r="C280" s="49" t="s">
        <v>296</v>
      </c>
      <c r="D280" s="349">
        <f t="shared" si="28"/>
        <v>40</v>
      </c>
      <c r="E280" s="350" t="s">
        <v>985</v>
      </c>
      <c r="F280" s="51" t="s">
        <v>25</v>
      </c>
      <c r="G280" s="351" t="s">
        <v>683</v>
      </c>
      <c r="H280" s="351" t="s">
        <v>1936</v>
      </c>
      <c r="I280" s="351" t="s">
        <v>1937</v>
      </c>
      <c r="J280" s="351" t="s">
        <v>3979</v>
      </c>
      <c r="K280" s="354">
        <v>5384</v>
      </c>
      <c r="L280" s="355">
        <v>40</v>
      </c>
      <c r="M280" s="354">
        <v>19</v>
      </c>
      <c r="N280" s="355">
        <v>9111</v>
      </c>
      <c r="O280" s="355">
        <v>21826</v>
      </c>
      <c r="P280" s="355">
        <v>84979</v>
      </c>
      <c r="Q280" s="355">
        <v>89570</v>
      </c>
      <c r="R280" s="355">
        <v>154055</v>
      </c>
      <c r="S280" s="355">
        <v>137913</v>
      </c>
      <c r="T280" s="355">
        <v>111155</v>
      </c>
      <c r="U280" s="59">
        <f t="shared" si="29"/>
        <v>19</v>
      </c>
      <c r="V280" s="59">
        <f t="shared" si="30"/>
        <v>154055</v>
      </c>
      <c r="W280" s="59">
        <f t="shared" si="31"/>
        <v>61405.2</v>
      </c>
      <c r="X280" s="60">
        <f t="shared" si="32"/>
        <v>2064.54309063893</v>
      </c>
      <c r="AC280" s="53"/>
      <c r="AL280" s="65">
        <f>_xlfn.IFERROR(INDEX('Tabela PW'!$T:$T,'Słownik PW'!C280,1),"")</f>
        <v>111155</v>
      </c>
    </row>
    <row r="281" spans="1:38" ht="15">
      <c r="A281" s="4" t="s">
        <v>232</v>
      </c>
      <c r="B281" s="5" t="s">
        <v>680</v>
      </c>
      <c r="C281" s="49" t="s">
        <v>297</v>
      </c>
      <c r="D281" s="349">
        <f t="shared" si="28"/>
        <v>45</v>
      </c>
      <c r="E281" s="350" t="s">
        <v>986</v>
      </c>
      <c r="F281" s="51" t="s">
        <v>298</v>
      </c>
      <c r="G281" s="351" t="s">
        <v>692</v>
      </c>
      <c r="H281" s="351" t="s">
        <v>1938</v>
      </c>
      <c r="I281" s="351" t="s">
        <v>1939</v>
      </c>
      <c r="J281" s="351" t="s">
        <v>3980</v>
      </c>
      <c r="K281" s="354">
        <v>329516</v>
      </c>
      <c r="L281" s="355">
        <v>330391</v>
      </c>
      <c r="M281" s="354">
        <v>346577</v>
      </c>
      <c r="N281" s="355">
        <v>305612</v>
      </c>
      <c r="O281" s="355">
        <v>301282</v>
      </c>
      <c r="P281" s="355">
        <v>383140</v>
      </c>
      <c r="Q281" s="355">
        <v>399368</v>
      </c>
      <c r="R281" s="355">
        <v>430311</v>
      </c>
      <c r="S281" s="355">
        <v>420665</v>
      </c>
      <c r="T281" s="355">
        <v>420802</v>
      </c>
      <c r="U281" s="59">
        <f t="shared" si="29"/>
        <v>301282</v>
      </c>
      <c r="V281" s="59">
        <f t="shared" si="30"/>
        <v>430311</v>
      </c>
      <c r="W281" s="59">
        <f t="shared" si="31"/>
        <v>366766.4</v>
      </c>
      <c r="X281" s="60">
        <f t="shared" si="32"/>
        <v>127.70305539033006</v>
      </c>
      <c r="AC281" s="53"/>
      <c r="AL281" s="65">
        <f>_xlfn.IFERROR(INDEX('Tabela PW'!$T:$T,'Słownik PW'!C281,1),"")</f>
        <v>420802</v>
      </c>
    </row>
    <row r="282" spans="1:38" ht="15">
      <c r="A282" s="4" t="s">
        <v>232</v>
      </c>
      <c r="B282" s="5" t="s">
        <v>680</v>
      </c>
      <c r="C282" s="49" t="s">
        <v>299</v>
      </c>
      <c r="D282" s="349">
        <f t="shared" si="28"/>
        <v>43</v>
      </c>
      <c r="E282" s="350" t="s">
        <v>987</v>
      </c>
      <c r="F282" s="51" t="s">
        <v>25</v>
      </c>
      <c r="G282" s="351" t="s">
        <v>683</v>
      </c>
      <c r="H282" s="351" t="s">
        <v>1940</v>
      </c>
      <c r="I282" s="351" t="s">
        <v>1941</v>
      </c>
      <c r="J282" s="351" t="s">
        <v>3981</v>
      </c>
      <c r="K282" s="354">
        <v>1935103</v>
      </c>
      <c r="L282" s="355">
        <v>2010422</v>
      </c>
      <c r="M282" s="354">
        <v>1888961</v>
      </c>
      <c r="N282" s="355">
        <v>1613572</v>
      </c>
      <c r="O282" s="355">
        <v>1658384</v>
      </c>
      <c r="P282" s="355">
        <v>1851465</v>
      </c>
      <c r="Q282" s="355">
        <v>1882911</v>
      </c>
      <c r="R282" s="355">
        <v>1821319</v>
      </c>
      <c r="S282" s="355">
        <v>1698429</v>
      </c>
      <c r="T282" s="355">
        <v>1791047</v>
      </c>
      <c r="U282" s="59">
        <f t="shared" si="29"/>
        <v>1613572</v>
      </c>
      <c r="V282" s="59">
        <f t="shared" si="30"/>
        <v>2010422</v>
      </c>
      <c r="W282" s="59">
        <f t="shared" si="31"/>
        <v>1815161.3</v>
      </c>
      <c r="X282" s="60">
        <f t="shared" si="32"/>
        <v>92.55564174103395</v>
      </c>
      <c r="AC282" s="53"/>
      <c r="AL282" s="65">
        <f>_xlfn.IFERROR(INDEX('Tabela PW'!$T:$T,'Słownik PW'!C282,1),"")</f>
        <v>1791047</v>
      </c>
    </row>
    <row r="283" spans="1:38" ht="15">
      <c r="A283" s="4" t="s">
        <v>232</v>
      </c>
      <c r="B283" s="5" t="s">
        <v>680</v>
      </c>
      <c r="C283" s="49" t="s">
        <v>300</v>
      </c>
      <c r="D283" s="349">
        <f t="shared" si="28"/>
        <v>17</v>
      </c>
      <c r="E283" s="350" t="s">
        <v>988</v>
      </c>
      <c r="F283" s="51" t="s">
        <v>25</v>
      </c>
      <c r="G283" s="351" t="s">
        <v>683</v>
      </c>
      <c r="H283" s="351" t="s">
        <v>1942</v>
      </c>
      <c r="I283" s="351" t="s">
        <v>1943</v>
      </c>
      <c r="J283" s="351" t="s">
        <v>3982</v>
      </c>
      <c r="K283" s="354">
        <v>2546527</v>
      </c>
      <c r="L283" s="355">
        <v>2709340</v>
      </c>
      <c r="M283" s="354">
        <v>2808600</v>
      </c>
      <c r="N283" s="355">
        <v>2990803</v>
      </c>
      <c r="O283" s="355">
        <v>3041811</v>
      </c>
      <c r="P283" s="355">
        <v>3315894</v>
      </c>
      <c r="Q283" s="355">
        <v>3249301</v>
      </c>
      <c r="R283" s="355">
        <v>3447756</v>
      </c>
      <c r="S283" s="355">
        <v>3456391</v>
      </c>
      <c r="T283" s="355">
        <v>3626921</v>
      </c>
      <c r="U283" s="59">
        <f t="shared" si="29"/>
        <v>2546527</v>
      </c>
      <c r="V283" s="59">
        <f t="shared" si="30"/>
        <v>3626921</v>
      </c>
      <c r="W283" s="59">
        <f t="shared" si="31"/>
        <v>3119334.4</v>
      </c>
      <c r="X283" s="60">
        <f t="shared" si="32"/>
        <v>142.42617494336406</v>
      </c>
      <c r="AC283" s="53"/>
      <c r="AL283" s="65">
        <f>_xlfn.IFERROR(INDEX('Tabela PW'!$T:$T,'Słownik PW'!C283,1),"")</f>
        <v>3626921</v>
      </c>
    </row>
    <row r="284" spans="1:38" ht="15">
      <c r="A284" s="4" t="s">
        <v>232</v>
      </c>
      <c r="B284" s="5" t="s">
        <v>680</v>
      </c>
      <c r="C284" s="49" t="s">
        <v>301</v>
      </c>
      <c r="D284" s="349">
        <f t="shared" si="28"/>
        <v>16</v>
      </c>
      <c r="E284" s="350" t="s">
        <v>989</v>
      </c>
      <c r="F284" s="51" t="s">
        <v>25</v>
      </c>
      <c r="G284" s="351" t="s">
        <v>683</v>
      </c>
      <c r="H284" s="351" t="s">
        <v>1944</v>
      </c>
      <c r="I284" s="351" t="s">
        <v>1945</v>
      </c>
      <c r="J284" s="351" t="s">
        <v>3983</v>
      </c>
      <c r="K284" s="354">
        <v>370342</v>
      </c>
      <c r="L284" s="355">
        <v>377020</v>
      </c>
      <c r="M284" s="354">
        <v>340070</v>
      </c>
      <c r="N284" s="355">
        <v>350930</v>
      </c>
      <c r="O284" s="355">
        <v>352726</v>
      </c>
      <c r="P284" s="355">
        <v>403179</v>
      </c>
      <c r="Q284" s="355">
        <v>353238</v>
      </c>
      <c r="R284" s="355">
        <v>376673</v>
      </c>
      <c r="S284" s="355">
        <v>351057</v>
      </c>
      <c r="T284" s="355">
        <v>388542</v>
      </c>
      <c r="U284" s="59">
        <f t="shared" si="29"/>
        <v>340070</v>
      </c>
      <c r="V284" s="59">
        <f t="shared" si="30"/>
        <v>403179</v>
      </c>
      <c r="W284" s="59">
        <f t="shared" si="31"/>
        <v>366377.7</v>
      </c>
      <c r="X284" s="60">
        <f t="shared" si="32"/>
        <v>104.9143764412354</v>
      </c>
      <c r="AC284" s="53"/>
      <c r="AL284" s="65">
        <f>_xlfn.IFERROR(INDEX('Tabela PW'!$T:$T,'Słownik PW'!C284,1),"")</f>
        <v>388542</v>
      </c>
    </row>
    <row r="285" spans="1:38" ht="15">
      <c r="A285" s="4" t="s">
        <v>232</v>
      </c>
      <c r="B285" s="5" t="s">
        <v>680</v>
      </c>
      <c r="C285" s="49" t="s">
        <v>302</v>
      </c>
      <c r="D285" s="349">
        <f t="shared" si="28"/>
        <v>10</v>
      </c>
      <c r="E285" s="350" t="s">
        <v>990</v>
      </c>
      <c r="F285" s="51" t="s">
        <v>25</v>
      </c>
      <c r="G285" s="351" t="s">
        <v>683</v>
      </c>
      <c r="H285" s="351" t="s">
        <v>1946</v>
      </c>
      <c r="I285" s="351" t="s">
        <v>1947</v>
      </c>
      <c r="J285" s="351" t="s">
        <v>3984</v>
      </c>
      <c r="K285" s="354">
        <v>364603</v>
      </c>
      <c r="L285" s="355">
        <v>372027</v>
      </c>
      <c r="M285" s="354">
        <v>337641</v>
      </c>
      <c r="N285" s="355">
        <v>347110</v>
      </c>
      <c r="O285" s="355">
        <v>348168</v>
      </c>
      <c r="P285" s="355">
        <v>395322</v>
      </c>
      <c r="Q285" s="355">
        <v>345904</v>
      </c>
      <c r="R285" s="355">
        <v>371114</v>
      </c>
      <c r="S285" s="355">
        <v>345623</v>
      </c>
      <c r="T285" s="355">
        <v>382746</v>
      </c>
      <c r="U285" s="59">
        <f t="shared" si="29"/>
        <v>337641</v>
      </c>
      <c r="V285" s="59">
        <f t="shared" si="30"/>
        <v>395322</v>
      </c>
      <c r="W285" s="59">
        <f t="shared" si="31"/>
        <v>361025.8</v>
      </c>
      <c r="X285" s="60">
        <f t="shared" si="32"/>
        <v>104.9760972893805</v>
      </c>
      <c r="AC285" s="53"/>
      <c r="AL285" s="65">
        <f>_xlfn.IFERROR(INDEX('Tabela PW'!$T:$T,'Słownik PW'!C285,1),"")</f>
        <v>382746</v>
      </c>
    </row>
    <row r="286" spans="1:38" ht="15">
      <c r="A286" s="4" t="s">
        <v>232</v>
      </c>
      <c r="B286" s="5" t="s">
        <v>680</v>
      </c>
      <c r="C286" s="49" t="s">
        <v>303</v>
      </c>
      <c r="D286" s="349">
        <f t="shared" si="28"/>
        <v>39</v>
      </c>
      <c r="E286" s="350" t="s">
        <v>991</v>
      </c>
      <c r="F286" s="51" t="s">
        <v>25</v>
      </c>
      <c r="G286" s="351" t="s">
        <v>683</v>
      </c>
      <c r="H286" s="351" t="s">
        <v>1948</v>
      </c>
      <c r="I286" s="351" t="s">
        <v>1949</v>
      </c>
      <c r="J286" s="351" t="s">
        <v>3985</v>
      </c>
      <c r="K286" s="354">
        <v>142051</v>
      </c>
      <c r="L286" s="355">
        <v>145099</v>
      </c>
      <c r="M286" s="354">
        <v>143160</v>
      </c>
      <c r="N286" s="355">
        <v>135731</v>
      </c>
      <c r="O286" s="355">
        <v>128352</v>
      </c>
      <c r="P286" s="355">
        <v>132908</v>
      </c>
      <c r="Q286" s="355">
        <v>148249</v>
      </c>
      <c r="R286" s="355">
        <v>152500</v>
      </c>
      <c r="S286" s="355">
        <v>146217</v>
      </c>
      <c r="T286" s="355">
        <v>175178</v>
      </c>
      <c r="U286" s="59">
        <f t="shared" si="29"/>
        <v>128352</v>
      </c>
      <c r="V286" s="59">
        <f t="shared" si="30"/>
        <v>175178</v>
      </c>
      <c r="W286" s="59">
        <f t="shared" si="31"/>
        <v>144944.5</v>
      </c>
      <c r="X286" s="60">
        <f t="shared" si="32"/>
        <v>123.32049756777495</v>
      </c>
      <c r="AC286" s="53"/>
      <c r="AL286" s="65">
        <f>_xlfn.IFERROR(INDEX('Tabela PW'!$T:$T,'Słownik PW'!C286,1),"")</f>
        <v>175178</v>
      </c>
    </row>
    <row r="287" spans="1:38" ht="15">
      <c r="A287" s="4" t="s">
        <v>232</v>
      </c>
      <c r="B287" s="5" t="s">
        <v>680</v>
      </c>
      <c r="C287" s="49" t="s">
        <v>304</v>
      </c>
      <c r="D287" s="349">
        <f t="shared" si="28"/>
        <v>48</v>
      </c>
      <c r="E287" s="350" t="s">
        <v>992</v>
      </c>
      <c r="F287" s="51" t="s">
        <v>25</v>
      </c>
      <c r="G287" s="351" t="s">
        <v>683</v>
      </c>
      <c r="H287" s="351" t="s">
        <v>1950</v>
      </c>
      <c r="I287" s="351" t="s">
        <v>1951</v>
      </c>
      <c r="J287" s="351" t="s">
        <v>3986</v>
      </c>
      <c r="K287" s="354">
        <v>82324</v>
      </c>
      <c r="L287" s="355">
        <v>85201</v>
      </c>
      <c r="M287" s="354">
        <v>86238</v>
      </c>
      <c r="N287" s="355">
        <v>77655</v>
      </c>
      <c r="O287" s="355">
        <v>75058</v>
      </c>
      <c r="P287" s="355">
        <v>82802</v>
      </c>
      <c r="Q287" s="355">
        <v>90804</v>
      </c>
      <c r="R287" s="355">
        <v>96394</v>
      </c>
      <c r="S287" s="355">
        <v>88198</v>
      </c>
      <c r="T287" s="355">
        <v>110577</v>
      </c>
      <c r="U287" s="59">
        <f t="shared" si="29"/>
        <v>75058</v>
      </c>
      <c r="V287" s="59">
        <f t="shared" si="30"/>
        <v>110577</v>
      </c>
      <c r="W287" s="59">
        <f t="shared" si="31"/>
        <v>87525.1</v>
      </c>
      <c r="X287" s="60">
        <f t="shared" si="32"/>
        <v>134.31927505952092</v>
      </c>
      <c r="AC287" s="53"/>
      <c r="AL287" s="65">
        <f>_xlfn.IFERROR(INDEX('Tabela PW'!$T:$T,'Słownik PW'!C287,1),"")</f>
        <v>110577</v>
      </c>
    </row>
    <row r="288" spans="1:38" ht="15">
      <c r="A288" s="4" t="s">
        <v>232</v>
      </c>
      <c r="B288" s="5" t="s">
        <v>680</v>
      </c>
      <c r="C288" s="49" t="s">
        <v>305</v>
      </c>
      <c r="D288" s="349">
        <f t="shared" si="28"/>
        <v>59</v>
      </c>
      <c r="E288" s="350" t="s">
        <v>993</v>
      </c>
      <c r="F288" s="51" t="s">
        <v>25</v>
      </c>
      <c r="G288" s="351" t="s">
        <v>683</v>
      </c>
      <c r="H288" s="351" t="s">
        <v>1952</v>
      </c>
      <c r="I288" s="351" t="s">
        <v>1953</v>
      </c>
      <c r="J288" s="351" t="s">
        <v>3987</v>
      </c>
      <c r="K288" s="354">
        <v>42030</v>
      </c>
      <c r="L288" s="355">
        <v>44836</v>
      </c>
      <c r="M288" s="354">
        <v>45855</v>
      </c>
      <c r="N288" s="355">
        <v>47634</v>
      </c>
      <c r="O288" s="355">
        <v>44435</v>
      </c>
      <c r="P288" s="355">
        <v>42037</v>
      </c>
      <c r="Q288" s="355">
        <v>47272</v>
      </c>
      <c r="R288" s="355">
        <v>46725</v>
      </c>
      <c r="S288" s="355">
        <v>52604</v>
      </c>
      <c r="T288" s="355">
        <v>54878</v>
      </c>
      <c r="U288" s="59">
        <f t="shared" si="29"/>
        <v>42030</v>
      </c>
      <c r="V288" s="59">
        <f t="shared" si="30"/>
        <v>54878</v>
      </c>
      <c r="W288" s="59">
        <f t="shared" si="31"/>
        <v>46830.6</v>
      </c>
      <c r="X288" s="60">
        <f t="shared" si="32"/>
        <v>130.5686414465858</v>
      </c>
      <c r="AC288" s="53"/>
      <c r="AL288" s="65">
        <f>_xlfn.IFERROR(INDEX('Tabela PW'!$T:$T,'Słownik PW'!C288,1),"")</f>
        <v>54878</v>
      </c>
    </row>
    <row r="289" spans="1:38" ht="15">
      <c r="A289" s="4" t="s">
        <v>232</v>
      </c>
      <c r="B289" s="5" t="s">
        <v>680</v>
      </c>
      <c r="C289" s="49" t="s">
        <v>306</v>
      </c>
      <c r="D289" s="349">
        <f t="shared" si="28"/>
        <v>78</v>
      </c>
      <c r="E289" s="350" t="s">
        <v>994</v>
      </c>
      <c r="F289" s="51" t="s">
        <v>25</v>
      </c>
      <c r="G289" s="351" t="s">
        <v>683</v>
      </c>
      <c r="H289" s="351" t="s">
        <v>1954</v>
      </c>
      <c r="I289" s="351" t="s">
        <v>1955</v>
      </c>
      <c r="J289" s="351" t="s">
        <v>3988</v>
      </c>
      <c r="K289" s="354">
        <v>195836</v>
      </c>
      <c r="L289" s="355">
        <v>282952</v>
      </c>
      <c r="M289" s="354">
        <v>261339</v>
      </c>
      <c r="N289" s="355">
        <v>306129</v>
      </c>
      <c r="O289" s="355">
        <v>275159</v>
      </c>
      <c r="P289" s="355">
        <v>320964</v>
      </c>
      <c r="Q289" s="355">
        <v>258888</v>
      </c>
      <c r="R289" s="355">
        <v>288547</v>
      </c>
      <c r="S289" s="355">
        <v>254634</v>
      </c>
      <c r="T289" s="355">
        <v>243152</v>
      </c>
      <c r="U289" s="59">
        <f t="shared" si="29"/>
        <v>195836</v>
      </c>
      <c r="V289" s="59">
        <f t="shared" si="30"/>
        <v>320964</v>
      </c>
      <c r="W289" s="59">
        <f t="shared" si="31"/>
        <v>268760</v>
      </c>
      <c r="X289" s="60">
        <f t="shared" si="32"/>
        <v>124.1610327008313</v>
      </c>
      <c r="AC289" s="53"/>
      <c r="AL289" s="65">
        <f>_xlfn.IFERROR(INDEX('Tabela PW'!$T:$T,'Słownik PW'!C289,1),"")</f>
        <v>243152</v>
      </c>
    </row>
    <row r="290" spans="1:38" ht="15">
      <c r="A290" s="4" t="s">
        <v>232</v>
      </c>
      <c r="B290" s="5" t="s">
        <v>680</v>
      </c>
      <c r="C290" s="49" t="s">
        <v>307</v>
      </c>
      <c r="D290" s="349">
        <f t="shared" si="28"/>
        <v>92</v>
      </c>
      <c r="E290" s="350" t="s">
        <v>995</v>
      </c>
      <c r="F290" s="51" t="s">
        <v>25</v>
      </c>
      <c r="G290" s="351" t="s">
        <v>683</v>
      </c>
      <c r="H290" s="351" t="s">
        <v>1956</v>
      </c>
      <c r="I290" s="351" t="s">
        <v>1957</v>
      </c>
      <c r="J290" s="351" t="s">
        <v>3989</v>
      </c>
      <c r="K290" s="354">
        <v>31666</v>
      </c>
      <c r="L290" s="355">
        <v>21953</v>
      </c>
      <c r="M290" s="354">
        <v>27263</v>
      </c>
      <c r="N290" s="355">
        <v>37027</v>
      </c>
      <c r="O290" s="355">
        <v>30964</v>
      </c>
      <c r="P290" s="355">
        <v>32507</v>
      </c>
      <c r="Q290" s="355">
        <v>31476</v>
      </c>
      <c r="R290" s="355">
        <v>28193</v>
      </c>
      <c r="S290" s="355">
        <v>46141</v>
      </c>
      <c r="T290" s="355">
        <v>40123</v>
      </c>
      <c r="U290" s="59">
        <f t="shared" si="29"/>
        <v>21953</v>
      </c>
      <c r="V290" s="59">
        <f t="shared" si="30"/>
        <v>46141</v>
      </c>
      <c r="W290" s="59">
        <f t="shared" si="31"/>
        <v>32731.3</v>
      </c>
      <c r="X290" s="60">
        <f t="shared" si="32"/>
        <v>126.70687803953768</v>
      </c>
      <c r="AC290" s="53"/>
      <c r="AL290" s="65">
        <f>_xlfn.IFERROR(INDEX('Tabela PW'!$T:$T,'Słownik PW'!C290,1),"")</f>
        <v>40123</v>
      </c>
    </row>
    <row r="291" spans="1:38" ht="15">
      <c r="A291" s="4" t="s">
        <v>232</v>
      </c>
      <c r="B291" s="5" t="s">
        <v>680</v>
      </c>
      <c r="C291" s="49" t="s">
        <v>308</v>
      </c>
      <c r="D291" s="349">
        <f t="shared" si="28"/>
        <v>89</v>
      </c>
      <c r="E291" s="350" t="s">
        <v>996</v>
      </c>
      <c r="F291" s="51" t="s">
        <v>25</v>
      </c>
      <c r="G291" s="351" t="s">
        <v>683</v>
      </c>
      <c r="H291" s="351" t="s">
        <v>1958</v>
      </c>
      <c r="I291" s="351" t="s">
        <v>1959</v>
      </c>
      <c r="J291" s="351" t="s">
        <v>3990</v>
      </c>
      <c r="K291" s="354">
        <v>98508</v>
      </c>
      <c r="L291" s="355">
        <v>84788</v>
      </c>
      <c r="M291" s="354">
        <v>79179</v>
      </c>
      <c r="N291" s="355">
        <v>85433</v>
      </c>
      <c r="O291" s="355">
        <v>91908</v>
      </c>
      <c r="P291" s="355">
        <v>94666</v>
      </c>
      <c r="Q291" s="355">
        <v>86824</v>
      </c>
      <c r="R291" s="355">
        <v>98177</v>
      </c>
      <c r="S291" s="355">
        <v>108472</v>
      </c>
      <c r="T291" s="355">
        <v>107248</v>
      </c>
      <c r="U291" s="59">
        <f t="shared" si="29"/>
        <v>79179</v>
      </c>
      <c r="V291" s="59">
        <f t="shared" si="30"/>
        <v>108472</v>
      </c>
      <c r="W291" s="59">
        <f t="shared" si="31"/>
        <v>93520.3</v>
      </c>
      <c r="X291" s="60">
        <f t="shared" si="32"/>
        <v>108.87237584764688</v>
      </c>
      <c r="AC291" s="53"/>
      <c r="AL291" s="65">
        <f>_xlfn.IFERROR(INDEX('Tabela PW'!$T:$T,'Słownik PW'!C291,1),"")</f>
        <v>107248</v>
      </c>
    </row>
    <row r="292" spans="1:38" ht="15">
      <c r="A292" s="4" t="s">
        <v>232</v>
      </c>
      <c r="B292" s="5" t="s">
        <v>680</v>
      </c>
      <c r="C292" s="49" t="s">
        <v>309</v>
      </c>
      <c r="D292" s="349">
        <f t="shared" si="28"/>
        <v>41</v>
      </c>
      <c r="E292" s="350" t="s">
        <v>997</v>
      </c>
      <c r="F292" s="51" t="s">
        <v>25</v>
      </c>
      <c r="G292" s="351" t="s">
        <v>683</v>
      </c>
      <c r="H292" s="351" t="s">
        <v>1960</v>
      </c>
      <c r="I292" s="351" t="s">
        <v>1961</v>
      </c>
      <c r="J292" s="351" t="s">
        <v>3991</v>
      </c>
      <c r="K292" s="354">
        <v>24581</v>
      </c>
      <c r="L292" s="355">
        <v>26178</v>
      </c>
      <c r="M292" s="354">
        <v>26468</v>
      </c>
      <c r="N292" s="355">
        <v>21956</v>
      </c>
      <c r="O292" s="355">
        <v>19690</v>
      </c>
      <c r="P292" s="355">
        <v>21881</v>
      </c>
      <c r="Q292" s="355">
        <v>18835</v>
      </c>
      <c r="R292" s="355">
        <v>20399</v>
      </c>
      <c r="S292" s="355">
        <v>18902</v>
      </c>
      <c r="T292" s="355">
        <v>16523</v>
      </c>
      <c r="U292" s="59">
        <f t="shared" si="29"/>
        <v>16523</v>
      </c>
      <c r="V292" s="59">
        <f t="shared" si="30"/>
        <v>26468</v>
      </c>
      <c r="W292" s="59">
        <f t="shared" si="31"/>
        <v>21541.3</v>
      </c>
      <c r="X292" s="60">
        <f t="shared" si="32"/>
        <v>67.21858345876896</v>
      </c>
      <c r="AC292" s="53"/>
      <c r="AL292" s="65">
        <f>_xlfn.IFERROR(INDEX('Tabela PW'!$T:$T,'Słownik PW'!C292,1),"")</f>
        <v>16523</v>
      </c>
    </row>
    <row r="293" spans="1:38" ht="15">
      <c r="A293" s="4" t="s">
        <v>232</v>
      </c>
      <c r="B293" s="5" t="s">
        <v>680</v>
      </c>
      <c r="C293" s="49" t="s">
        <v>310</v>
      </c>
      <c r="D293" s="349">
        <f t="shared" si="28"/>
        <v>39</v>
      </c>
      <c r="E293" s="350" t="s">
        <v>998</v>
      </c>
      <c r="F293" s="51" t="s">
        <v>25</v>
      </c>
      <c r="G293" s="351" t="s">
        <v>683</v>
      </c>
      <c r="H293" s="351" t="s">
        <v>1962</v>
      </c>
      <c r="I293" s="351" t="s">
        <v>1963</v>
      </c>
      <c r="J293" s="351" t="s">
        <v>3992</v>
      </c>
      <c r="K293" s="354">
        <v>12812</v>
      </c>
      <c r="L293" s="355">
        <v>25134</v>
      </c>
      <c r="M293" s="354">
        <v>26259</v>
      </c>
      <c r="N293" s="355">
        <v>28991</v>
      </c>
      <c r="O293" s="355">
        <v>32049</v>
      </c>
      <c r="P293" s="355">
        <v>31071</v>
      </c>
      <c r="Q293" s="355">
        <v>33031</v>
      </c>
      <c r="R293" s="355">
        <v>30920</v>
      </c>
      <c r="S293" s="355">
        <v>30603</v>
      </c>
      <c r="T293" s="355">
        <v>30154</v>
      </c>
      <c r="U293" s="59">
        <f t="shared" si="29"/>
        <v>12812</v>
      </c>
      <c r="V293" s="59">
        <f t="shared" si="30"/>
        <v>33031</v>
      </c>
      <c r="W293" s="59">
        <f t="shared" si="31"/>
        <v>28102.4</v>
      </c>
      <c r="X293" s="60">
        <f t="shared" si="32"/>
        <v>235.35747736497035</v>
      </c>
      <c r="AC293" s="53"/>
      <c r="AL293" s="65">
        <f>_xlfn.IFERROR(INDEX('Tabela PW'!$T:$T,'Słownik PW'!C293,1),"")</f>
        <v>30154</v>
      </c>
    </row>
    <row r="294" spans="1:38" ht="15">
      <c r="A294" s="4" t="s">
        <v>232</v>
      </c>
      <c r="B294" s="5" t="s">
        <v>680</v>
      </c>
      <c r="C294" s="49" t="s">
        <v>311</v>
      </c>
      <c r="D294" s="349">
        <f t="shared" si="28"/>
        <v>61</v>
      </c>
      <c r="E294" s="350" t="s">
        <v>999</v>
      </c>
      <c r="F294" s="51" t="s">
        <v>25</v>
      </c>
      <c r="G294" s="351" t="s">
        <v>683</v>
      </c>
      <c r="H294" s="351" t="s">
        <v>1964</v>
      </c>
      <c r="I294" s="351" t="s">
        <v>1965</v>
      </c>
      <c r="J294" s="351" t="s">
        <v>3993</v>
      </c>
      <c r="K294" s="354">
        <v>339151</v>
      </c>
      <c r="L294" s="355">
        <v>350190</v>
      </c>
      <c r="M294" s="354">
        <v>333912</v>
      </c>
      <c r="N294" s="355">
        <v>369879</v>
      </c>
      <c r="O294" s="355">
        <v>362498</v>
      </c>
      <c r="P294" s="355">
        <v>459495</v>
      </c>
      <c r="Q294" s="355">
        <v>420071</v>
      </c>
      <c r="R294" s="355">
        <v>466310</v>
      </c>
      <c r="S294" s="355">
        <v>438395</v>
      </c>
      <c r="T294" s="355">
        <v>529198</v>
      </c>
      <c r="U294" s="59">
        <f t="shared" si="29"/>
        <v>333912</v>
      </c>
      <c r="V294" s="59">
        <f t="shared" si="30"/>
        <v>529198</v>
      </c>
      <c r="W294" s="59">
        <f t="shared" si="31"/>
        <v>406909.9</v>
      </c>
      <c r="X294" s="60">
        <f t="shared" si="32"/>
        <v>156.03610191330705</v>
      </c>
      <c r="AC294" s="53"/>
      <c r="AL294" s="65">
        <f>_xlfn.IFERROR(INDEX('Tabela PW'!$T:$T,'Słownik PW'!C294,1),"")</f>
        <v>529198</v>
      </c>
    </row>
    <row r="295" spans="1:38" ht="15">
      <c r="A295" s="4" t="s">
        <v>232</v>
      </c>
      <c r="B295" s="5" t="s">
        <v>680</v>
      </c>
      <c r="C295" s="49" t="s">
        <v>312</v>
      </c>
      <c r="D295" s="349">
        <f t="shared" si="28"/>
        <v>36</v>
      </c>
      <c r="E295" s="350" t="s">
        <v>1000</v>
      </c>
      <c r="F295" s="51" t="s">
        <v>25</v>
      </c>
      <c r="G295" s="351" t="s">
        <v>683</v>
      </c>
      <c r="H295" s="351" t="s">
        <v>1966</v>
      </c>
      <c r="I295" s="351" t="s">
        <v>1967</v>
      </c>
      <c r="J295" s="351" t="s">
        <v>3994</v>
      </c>
      <c r="K295" s="354">
        <v>239514</v>
      </c>
      <c r="L295" s="355">
        <v>251157</v>
      </c>
      <c r="M295" s="354">
        <v>240411</v>
      </c>
      <c r="N295" s="355">
        <v>256608</v>
      </c>
      <c r="O295" s="355">
        <v>230621</v>
      </c>
      <c r="P295" s="355">
        <v>298305</v>
      </c>
      <c r="Q295" s="355">
        <v>264049</v>
      </c>
      <c r="R295" s="355">
        <v>291638</v>
      </c>
      <c r="S295" s="355">
        <v>287082</v>
      </c>
      <c r="T295" s="355">
        <v>351050</v>
      </c>
      <c r="U295" s="59">
        <f t="shared" si="29"/>
        <v>230621</v>
      </c>
      <c r="V295" s="59">
        <f t="shared" si="30"/>
        <v>351050</v>
      </c>
      <c r="W295" s="59">
        <f t="shared" si="31"/>
        <v>271043.5</v>
      </c>
      <c r="X295" s="60">
        <f t="shared" si="32"/>
        <v>146.56763278973256</v>
      </c>
      <c r="AC295" s="53"/>
      <c r="AL295" s="65">
        <f>_xlfn.IFERROR(INDEX('Tabela PW'!$T:$T,'Słownik PW'!C295,1),"")</f>
        <v>351050</v>
      </c>
    </row>
    <row r="296" spans="1:38" ht="15">
      <c r="A296" s="4" t="s">
        <v>232</v>
      </c>
      <c r="B296" s="5" t="s">
        <v>680</v>
      </c>
      <c r="C296" s="49" t="s">
        <v>313</v>
      </c>
      <c r="D296" s="349">
        <f t="shared" si="28"/>
        <v>38</v>
      </c>
      <c r="E296" s="350" t="s">
        <v>1001</v>
      </c>
      <c r="F296" s="51" t="s">
        <v>25</v>
      </c>
      <c r="G296" s="351" t="s">
        <v>683</v>
      </c>
      <c r="H296" s="351" t="s">
        <v>1968</v>
      </c>
      <c r="I296" s="351" t="s">
        <v>1969</v>
      </c>
      <c r="J296" s="351" t="s">
        <v>3995</v>
      </c>
      <c r="K296" s="354">
        <v>8419</v>
      </c>
      <c r="L296" s="355">
        <v>8482</v>
      </c>
      <c r="M296" s="354">
        <v>8013</v>
      </c>
      <c r="N296" s="355">
        <v>9668</v>
      </c>
      <c r="O296" s="355">
        <v>11965</v>
      </c>
      <c r="P296" s="355">
        <v>13865</v>
      </c>
      <c r="Q296" s="355">
        <v>15101</v>
      </c>
      <c r="R296" s="355">
        <v>16597</v>
      </c>
      <c r="S296" s="355">
        <v>18291</v>
      </c>
      <c r="T296" s="355">
        <v>17656</v>
      </c>
      <c r="U296" s="59">
        <f t="shared" si="29"/>
        <v>8013</v>
      </c>
      <c r="V296" s="59">
        <f t="shared" si="30"/>
        <v>18291</v>
      </c>
      <c r="W296" s="59">
        <f t="shared" si="31"/>
        <v>12805.7</v>
      </c>
      <c r="X296" s="60">
        <f t="shared" si="32"/>
        <v>209.71611830383657</v>
      </c>
      <c r="AC296" s="53"/>
      <c r="AL296" s="65">
        <f>_xlfn.IFERROR(INDEX('Tabela PW'!$T:$T,'Słownik PW'!C296,1),"")</f>
        <v>17656</v>
      </c>
    </row>
    <row r="297" spans="1:38" ht="15">
      <c r="A297" s="4" t="s">
        <v>232</v>
      </c>
      <c r="B297" s="5" t="s">
        <v>680</v>
      </c>
      <c r="C297" s="49" t="s">
        <v>314</v>
      </c>
      <c r="D297" s="349">
        <f t="shared" si="28"/>
        <v>9</v>
      </c>
      <c r="E297" s="350" t="s">
        <v>1002</v>
      </c>
      <c r="F297" s="51" t="s">
        <v>25</v>
      </c>
      <c r="G297" s="351" t="s">
        <v>683</v>
      </c>
      <c r="H297" s="351" t="s">
        <v>1970</v>
      </c>
      <c r="I297" s="351" t="s">
        <v>1971</v>
      </c>
      <c r="J297" s="351" t="s">
        <v>3996</v>
      </c>
      <c r="K297" s="354">
        <v>86914</v>
      </c>
      <c r="L297" s="355">
        <v>88146</v>
      </c>
      <c r="M297" s="354">
        <v>109348</v>
      </c>
      <c r="N297" s="355">
        <v>123495</v>
      </c>
      <c r="O297" s="355">
        <v>140710</v>
      </c>
      <c r="P297" s="355">
        <v>159320</v>
      </c>
      <c r="Q297" s="355">
        <v>161378</v>
      </c>
      <c r="R297" s="355">
        <v>127426</v>
      </c>
      <c r="S297" s="355">
        <v>194146</v>
      </c>
      <c r="T297" s="355">
        <v>191840</v>
      </c>
      <c r="U297" s="59">
        <f t="shared" si="29"/>
        <v>86914</v>
      </c>
      <c r="V297" s="59">
        <f t="shared" si="30"/>
        <v>194146</v>
      </c>
      <c r="W297" s="59">
        <f t="shared" si="31"/>
        <v>138272.3</v>
      </c>
      <c r="X297" s="60">
        <f t="shared" si="32"/>
        <v>220.72393400372783</v>
      </c>
      <c r="AC297" s="53"/>
      <c r="AL297" s="65">
        <f>_xlfn.IFERROR(INDEX('Tabela PW'!$T:$T,'Słownik PW'!C297,1),"")</f>
        <v>191840</v>
      </c>
    </row>
    <row r="298" spans="1:38" ht="15">
      <c r="A298" s="4" t="s">
        <v>232</v>
      </c>
      <c r="B298" s="5" t="s">
        <v>680</v>
      </c>
      <c r="C298" s="49" t="s">
        <v>315</v>
      </c>
      <c r="D298" s="349">
        <f t="shared" si="28"/>
        <v>57</v>
      </c>
      <c r="E298" s="350" t="s">
        <v>1003</v>
      </c>
      <c r="F298" s="51" t="s">
        <v>25</v>
      </c>
      <c r="G298" s="351" t="s">
        <v>683</v>
      </c>
      <c r="H298" s="351" t="s">
        <v>1972</v>
      </c>
      <c r="I298" s="351" t="s">
        <v>1973</v>
      </c>
      <c r="J298" s="351" t="s">
        <v>3997</v>
      </c>
      <c r="K298" s="354">
        <v>2071</v>
      </c>
      <c r="L298" s="355">
        <v>2598</v>
      </c>
      <c r="M298" s="356" t="s">
        <v>4569</v>
      </c>
      <c r="N298" s="356" t="s">
        <v>4569</v>
      </c>
      <c r="O298" s="356" t="s">
        <v>4569</v>
      </c>
      <c r="P298" s="356" t="s">
        <v>4569</v>
      </c>
      <c r="Q298" s="356" t="s">
        <v>4569</v>
      </c>
      <c r="R298" s="355" t="s">
        <v>4569</v>
      </c>
      <c r="S298" s="355" t="s">
        <v>4569</v>
      </c>
      <c r="T298" s="355" t="s">
        <v>4569</v>
      </c>
      <c r="U298" s="59">
        <f t="shared" si="29"/>
        <v>2071</v>
      </c>
      <c r="V298" s="59">
        <f t="shared" si="30"/>
        <v>2598</v>
      </c>
      <c r="W298" s="59">
        <f t="shared" si="31"/>
        <v>2334.5</v>
      </c>
      <c r="X298" s="60" t="str">
        <f t="shared" si="32"/>
        <v>-</v>
      </c>
      <c r="AC298" s="53"/>
      <c r="AL298" s="65" t="str">
        <f>_xlfn.IFERROR(INDEX('Tabela PW'!$T:$T,'Słownik PW'!C298,1),"")</f>
        <v>—</v>
      </c>
    </row>
    <row r="299" spans="1:38" ht="15">
      <c r="A299" s="4" t="s">
        <v>232</v>
      </c>
      <c r="B299" s="5" t="s">
        <v>680</v>
      </c>
      <c r="C299" s="49" t="s">
        <v>316</v>
      </c>
      <c r="D299" s="349">
        <f t="shared" si="28"/>
        <v>19</v>
      </c>
      <c r="E299" s="350" t="s">
        <v>1004</v>
      </c>
      <c r="F299" s="51" t="s">
        <v>25</v>
      </c>
      <c r="G299" s="351" t="s">
        <v>683</v>
      </c>
      <c r="H299" s="351" t="s">
        <v>1974</v>
      </c>
      <c r="I299" s="351" t="s">
        <v>1975</v>
      </c>
      <c r="J299" s="351" t="s">
        <v>3998</v>
      </c>
      <c r="K299" s="354">
        <v>167647</v>
      </c>
      <c r="L299" s="355">
        <v>186035</v>
      </c>
      <c r="M299" s="354">
        <v>192387</v>
      </c>
      <c r="N299" s="355">
        <v>193230</v>
      </c>
      <c r="O299" s="355">
        <v>192440</v>
      </c>
      <c r="P299" s="355">
        <v>192658</v>
      </c>
      <c r="Q299" s="355">
        <v>223788</v>
      </c>
      <c r="R299" s="355">
        <v>246856</v>
      </c>
      <c r="S299" s="355">
        <v>259755</v>
      </c>
      <c r="T299" s="355">
        <v>281219</v>
      </c>
      <c r="U299" s="59">
        <f t="shared" si="29"/>
        <v>167647</v>
      </c>
      <c r="V299" s="59">
        <f t="shared" si="30"/>
        <v>281219</v>
      </c>
      <c r="W299" s="59">
        <f t="shared" si="31"/>
        <v>213601.5</v>
      </c>
      <c r="X299" s="60">
        <f t="shared" si="32"/>
        <v>167.74472552446508</v>
      </c>
      <c r="AC299" s="53"/>
      <c r="AL299" s="65">
        <f>_xlfn.IFERROR(INDEX('Tabela PW'!$T:$T,'Słownik PW'!C299,1),"")</f>
        <v>281219</v>
      </c>
    </row>
    <row r="300" spans="1:38" ht="15">
      <c r="A300" s="4" t="s">
        <v>232</v>
      </c>
      <c r="B300" s="5" t="s">
        <v>680</v>
      </c>
      <c r="C300" s="49" t="s">
        <v>317</v>
      </c>
      <c r="D300" s="349">
        <f t="shared" si="28"/>
        <v>18</v>
      </c>
      <c r="E300" s="350" t="s">
        <v>1005</v>
      </c>
      <c r="F300" s="51" t="s">
        <v>25</v>
      </c>
      <c r="G300" s="351" t="s">
        <v>683</v>
      </c>
      <c r="H300" s="351" t="s">
        <v>1976</v>
      </c>
      <c r="I300" s="351" t="s">
        <v>1977</v>
      </c>
      <c r="J300" s="351" t="s">
        <v>3999</v>
      </c>
      <c r="K300" s="354">
        <v>9618</v>
      </c>
      <c r="L300" s="355">
        <v>12173</v>
      </c>
      <c r="M300" s="354">
        <v>10466</v>
      </c>
      <c r="N300" s="355">
        <v>7426</v>
      </c>
      <c r="O300" s="355">
        <v>6019</v>
      </c>
      <c r="P300" s="355">
        <v>5732</v>
      </c>
      <c r="Q300" s="355">
        <v>10324</v>
      </c>
      <c r="R300" s="355">
        <v>18196</v>
      </c>
      <c r="S300" s="355">
        <v>15994</v>
      </c>
      <c r="T300" s="355">
        <v>15756</v>
      </c>
      <c r="U300" s="59">
        <f t="shared" si="29"/>
        <v>5732</v>
      </c>
      <c r="V300" s="59">
        <f t="shared" si="30"/>
        <v>18196</v>
      </c>
      <c r="W300" s="59">
        <f t="shared" si="31"/>
        <v>11170.4</v>
      </c>
      <c r="X300" s="60">
        <f t="shared" si="32"/>
        <v>163.8178415470992</v>
      </c>
      <c r="AC300" s="53"/>
      <c r="AL300" s="65">
        <f>_xlfn.IFERROR(INDEX('Tabela PW'!$T:$T,'Słownik PW'!C300,1),"")</f>
        <v>15756</v>
      </c>
    </row>
    <row r="301" spans="1:38" ht="15">
      <c r="A301" s="4" t="s">
        <v>232</v>
      </c>
      <c r="B301" s="5" t="s">
        <v>680</v>
      </c>
      <c r="C301" s="49" t="s">
        <v>318</v>
      </c>
      <c r="D301" s="349">
        <f t="shared" si="28"/>
        <v>9</v>
      </c>
      <c r="E301" s="350" t="s">
        <v>1006</v>
      </c>
      <c r="F301" s="51" t="s">
        <v>25</v>
      </c>
      <c r="G301" s="351" t="s">
        <v>683</v>
      </c>
      <c r="H301" s="351" t="s">
        <v>1978</v>
      </c>
      <c r="I301" s="351" t="s">
        <v>1979</v>
      </c>
      <c r="J301" s="351" t="s">
        <v>4000</v>
      </c>
      <c r="K301" s="354">
        <v>28960</v>
      </c>
      <c r="L301" s="355">
        <v>29124</v>
      </c>
      <c r="M301" s="354">
        <v>29201</v>
      </c>
      <c r="N301" s="355">
        <v>33438</v>
      </c>
      <c r="O301" s="355">
        <v>40387</v>
      </c>
      <c r="P301" s="355">
        <v>43907</v>
      </c>
      <c r="Q301" s="355">
        <v>46482</v>
      </c>
      <c r="R301" s="355">
        <v>63575</v>
      </c>
      <c r="S301" s="355">
        <v>66154</v>
      </c>
      <c r="T301" s="355">
        <v>72389</v>
      </c>
      <c r="U301" s="59">
        <f t="shared" si="29"/>
        <v>28960</v>
      </c>
      <c r="V301" s="59">
        <f t="shared" si="30"/>
        <v>72389</v>
      </c>
      <c r="W301" s="59">
        <f t="shared" si="31"/>
        <v>45361.7</v>
      </c>
      <c r="X301" s="60">
        <f t="shared" si="32"/>
        <v>249.96201657458562</v>
      </c>
      <c r="AC301" s="53"/>
      <c r="AL301" s="65">
        <f>_xlfn.IFERROR(INDEX('Tabela PW'!$T:$T,'Słownik PW'!C301,1),"")</f>
        <v>72389</v>
      </c>
    </row>
    <row r="302" spans="1:38" ht="15">
      <c r="A302" s="4" t="s">
        <v>232</v>
      </c>
      <c r="B302" s="5" t="s">
        <v>680</v>
      </c>
      <c r="C302" s="49" t="s">
        <v>319</v>
      </c>
      <c r="D302" s="349">
        <f t="shared" si="28"/>
        <v>99</v>
      </c>
      <c r="E302" s="350" t="s">
        <v>1007</v>
      </c>
      <c r="F302" s="51" t="s">
        <v>25</v>
      </c>
      <c r="G302" s="351" t="s">
        <v>683</v>
      </c>
      <c r="H302" s="351" t="s">
        <v>1980</v>
      </c>
      <c r="I302" s="351" t="s">
        <v>1981</v>
      </c>
      <c r="J302" s="351" t="s">
        <v>4001</v>
      </c>
      <c r="K302" s="354">
        <v>1104028</v>
      </c>
      <c r="L302" s="355">
        <v>1186647</v>
      </c>
      <c r="M302" s="354">
        <v>1057482</v>
      </c>
      <c r="N302" s="355">
        <v>1127246</v>
      </c>
      <c r="O302" s="355">
        <v>1153923</v>
      </c>
      <c r="P302" s="355">
        <v>1263302</v>
      </c>
      <c r="Q302" s="366">
        <v>1244963</v>
      </c>
      <c r="R302" s="355">
        <v>1225570</v>
      </c>
      <c r="S302" s="355">
        <v>1257874</v>
      </c>
      <c r="T302" s="355">
        <v>1300769</v>
      </c>
      <c r="U302" s="59">
        <f t="shared" si="29"/>
        <v>1057482</v>
      </c>
      <c r="V302" s="59">
        <f t="shared" si="30"/>
        <v>1300769</v>
      </c>
      <c r="W302" s="59">
        <f t="shared" si="31"/>
        <v>1192180.4</v>
      </c>
      <c r="X302" s="60">
        <f t="shared" si="32"/>
        <v>117.82029078972636</v>
      </c>
      <c r="AC302" s="53"/>
      <c r="AL302" s="65">
        <f>_xlfn.IFERROR(INDEX('Tabela PW'!$T:$T,'Słownik PW'!C302,1),"")</f>
        <v>1300769</v>
      </c>
    </row>
    <row r="303" spans="1:38" ht="15">
      <c r="A303" s="4" t="s">
        <v>232</v>
      </c>
      <c r="B303" s="5" t="s">
        <v>680</v>
      </c>
      <c r="C303" s="49" t="s">
        <v>320</v>
      </c>
      <c r="D303" s="349">
        <f t="shared" si="28"/>
        <v>116</v>
      </c>
      <c r="E303" s="350" t="s">
        <v>1008</v>
      </c>
      <c r="F303" s="51" t="s">
        <v>74</v>
      </c>
      <c r="G303" s="351" t="s">
        <v>671</v>
      </c>
      <c r="H303" s="351" t="s">
        <v>1982</v>
      </c>
      <c r="I303" s="351" t="s">
        <v>1983</v>
      </c>
      <c r="J303" s="351" t="s">
        <v>4002</v>
      </c>
      <c r="K303" s="354">
        <v>2480459</v>
      </c>
      <c r="L303" s="355">
        <v>2436568</v>
      </c>
      <c r="M303" s="354">
        <v>2338379</v>
      </c>
      <c r="N303" s="355">
        <v>2264545</v>
      </c>
      <c r="O303" s="355">
        <v>2413651</v>
      </c>
      <c r="P303" s="366">
        <v>2515865</v>
      </c>
      <c r="Q303" s="366">
        <v>2565349</v>
      </c>
      <c r="R303" s="355">
        <v>2592842</v>
      </c>
      <c r="S303" s="355">
        <v>2554051</v>
      </c>
      <c r="T303" s="355">
        <v>2683618</v>
      </c>
      <c r="U303" s="59">
        <f t="shared" si="29"/>
        <v>2264545</v>
      </c>
      <c r="V303" s="59">
        <f t="shared" si="30"/>
        <v>2683618</v>
      </c>
      <c r="W303" s="59">
        <f t="shared" si="31"/>
        <v>2484532.7</v>
      </c>
      <c r="X303" s="60">
        <f t="shared" si="32"/>
        <v>108.19037928060895</v>
      </c>
      <c r="AC303" s="53"/>
      <c r="AL303" s="65">
        <f>_xlfn.IFERROR(INDEX('Tabela PW'!$T:$T,'Słownik PW'!C303,1),"")</f>
        <v>2683618</v>
      </c>
    </row>
    <row r="304" spans="1:38" ht="15">
      <c r="A304" s="4" t="s">
        <v>232</v>
      </c>
      <c r="B304" s="5" t="s">
        <v>680</v>
      </c>
      <c r="C304" s="49" t="s">
        <v>320</v>
      </c>
      <c r="D304" s="349">
        <f t="shared" si="28"/>
        <v>116</v>
      </c>
      <c r="E304" s="350" t="s">
        <v>1009</v>
      </c>
      <c r="F304" s="51" t="s">
        <v>25</v>
      </c>
      <c r="G304" s="351" t="s">
        <v>683</v>
      </c>
      <c r="H304" s="351" t="s">
        <v>1984</v>
      </c>
      <c r="I304" s="351" t="s">
        <v>1985</v>
      </c>
      <c r="J304" s="351" t="s">
        <v>4003</v>
      </c>
      <c r="K304" s="354">
        <v>345021</v>
      </c>
      <c r="L304" s="355">
        <v>334931</v>
      </c>
      <c r="M304" s="354">
        <v>324825</v>
      </c>
      <c r="N304" s="355">
        <v>310264</v>
      </c>
      <c r="O304" s="355">
        <v>331123</v>
      </c>
      <c r="P304" s="366">
        <v>341476</v>
      </c>
      <c r="Q304" s="366">
        <v>344786</v>
      </c>
      <c r="R304" s="355">
        <v>346908</v>
      </c>
      <c r="S304" s="355">
        <v>343710</v>
      </c>
      <c r="T304" s="355">
        <v>361094</v>
      </c>
      <c r="U304" s="59">
        <f t="shared" si="29"/>
        <v>310264</v>
      </c>
      <c r="V304" s="59">
        <f t="shared" si="30"/>
        <v>361094</v>
      </c>
      <c r="W304" s="59">
        <f t="shared" si="31"/>
        <v>338413.8</v>
      </c>
      <c r="X304" s="60">
        <f t="shared" si="32"/>
        <v>104.65855701537008</v>
      </c>
      <c r="AC304" s="53"/>
      <c r="AL304" s="65">
        <f>_xlfn.IFERROR(INDEX('Tabela PW'!$T:$T,'Słownik PW'!C304,1),"")</f>
        <v>361094</v>
      </c>
    </row>
    <row r="305" spans="1:38" ht="15">
      <c r="A305" s="4" t="s">
        <v>232</v>
      </c>
      <c r="B305" s="5" t="s">
        <v>680</v>
      </c>
      <c r="C305" s="49" t="s">
        <v>4382</v>
      </c>
      <c r="D305" s="349">
        <f t="shared" si="28"/>
        <v>125</v>
      </c>
      <c r="E305" s="350" t="s">
        <v>1010</v>
      </c>
      <c r="F305" s="51" t="s">
        <v>25</v>
      </c>
      <c r="G305" s="351" t="s">
        <v>683</v>
      </c>
      <c r="H305" s="351" t="s">
        <v>1986</v>
      </c>
      <c r="I305" s="351" t="s">
        <v>1987</v>
      </c>
      <c r="J305" s="351" t="s">
        <v>4004</v>
      </c>
      <c r="K305" s="354">
        <v>104538</v>
      </c>
      <c r="L305" s="355">
        <v>123509</v>
      </c>
      <c r="M305" s="354">
        <v>133598</v>
      </c>
      <c r="N305" s="355">
        <v>146676</v>
      </c>
      <c r="O305" s="355">
        <v>178541</v>
      </c>
      <c r="P305" s="355">
        <v>184654</v>
      </c>
      <c r="Q305" s="355">
        <v>195601</v>
      </c>
      <c r="R305" s="355">
        <v>197857</v>
      </c>
      <c r="S305" s="355">
        <v>198939</v>
      </c>
      <c r="T305" s="355">
        <v>201135</v>
      </c>
      <c r="U305" s="59">
        <f t="shared" si="29"/>
        <v>104538</v>
      </c>
      <c r="V305" s="59">
        <f t="shared" si="30"/>
        <v>201135</v>
      </c>
      <c r="W305" s="59">
        <f t="shared" si="31"/>
        <v>166504.8</v>
      </c>
      <c r="X305" s="60">
        <f t="shared" si="32"/>
        <v>192.4037192217184</v>
      </c>
      <c r="AC305" s="53"/>
      <c r="AL305" s="65">
        <f>_xlfn.IFERROR(INDEX('Tabela PW'!$T:$T,'Słownik PW'!C305,1),"")</f>
        <v>201135</v>
      </c>
    </row>
    <row r="306" spans="1:38" ht="15">
      <c r="A306" s="4" t="s">
        <v>232</v>
      </c>
      <c r="B306" s="5" t="s">
        <v>680</v>
      </c>
      <c r="C306" s="49" t="s">
        <v>321</v>
      </c>
      <c r="D306" s="349">
        <f t="shared" si="28"/>
        <v>181</v>
      </c>
      <c r="E306" s="350" t="s">
        <v>1011</v>
      </c>
      <c r="F306" s="51" t="s">
        <v>74</v>
      </c>
      <c r="G306" s="351" t="s">
        <v>671</v>
      </c>
      <c r="H306" s="351" t="s">
        <v>1988</v>
      </c>
      <c r="I306" s="351" t="s">
        <v>1989</v>
      </c>
      <c r="J306" s="351" t="s">
        <v>4005</v>
      </c>
      <c r="K306" s="354">
        <v>87887</v>
      </c>
      <c r="L306" s="355">
        <v>70142</v>
      </c>
      <c r="M306" s="354">
        <v>66491</v>
      </c>
      <c r="N306" s="355">
        <v>63424</v>
      </c>
      <c r="O306" s="355">
        <v>38848</v>
      </c>
      <c r="P306" s="355">
        <v>39233</v>
      </c>
      <c r="Q306" s="355">
        <v>40207</v>
      </c>
      <c r="R306" s="355">
        <v>30647</v>
      </c>
      <c r="S306" s="355">
        <v>51339</v>
      </c>
      <c r="T306" s="355">
        <v>59070</v>
      </c>
      <c r="U306" s="59">
        <f t="shared" si="29"/>
        <v>30647</v>
      </c>
      <c r="V306" s="59">
        <f t="shared" si="30"/>
        <v>87887</v>
      </c>
      <c r="W306" s="59">
        <f t="shared" si="31"/>
        <v>54728.8</v>
      </c>
      <c r="X306" s="60">
        <f t="shared" si="32"/>
        <v>67.21130542628603</v>
      </c>
      <c r="AC306" s="53"/>
      <c r="AL306" s="65">
        <f>_xlfn.IFERROR(INDEX('Tabela PW'!$T:$T,'Słownik PW'!C306,1),"")</f>
        <v>59070</v>
      </c>
    </row>
    <row r="307" spans="1:38" ht="15">
      <c r="A307" s="4" t="s">
        <v>232</v>
      </c>
      <c r="B307" s="5" t="s">
        <v>680</v>
      </c>
      <c r="C307" s="49" t="s">
        <v>321</v>
      </c>
      <c r="D307" s="349">
        <f t="shared" si="28"/>
        <v>181</v>
      </c>
      <c r="E307" s="350" t="s">
        <v>1012</v>
      </c>
      <c r="F307" s="51" t="s">
        <v>25</v>
      </c>
      <c r="G307" s="351" t="s">
        <v>683</v>
      </c>
      <c r="H307" s="351" t="s">
        <v>1990</v>
      </c>
      <c r="I307" s="351" t="s">
        <v>1991</v>
      </c>
      <c r="J307" s="351" t="s">
        <v>4006</v>
      </c>
      <c r="K307" s="354">
        <v>8640</v>
      </c>
      <c r="L307" s="355">
        <v>7208</v>
      </c>
      <c r="M307" s="354">
        <v>7266</v>
      </c>
      <c r="N307" s="355">
        <v>6717</v>
      </c>
      <c r="O307" s="355">
        <v>3772</v>
      </c>
      <c r="P307" s="355">
        <v>3855</v>
      </c>
      <c r="Q307" s="355">
        <v>3968</v>
      </c>
      <c r="R307" s="355">
        <v>2939</v>
      </c>
      <c r="S307" s="355">
        <v>5070</v>
      </c>
      <c r="T307" s="355">
        <v>5824</v>
      </c>
      <c r="U307" s="59">
        <f t="shared" si="29"/>
        <v>2939</v>
      </c>
      <c r="V307" s="59">
        <f t="shared" si="30"/>
        <v>8640</v>
      </c>
      <c r="W307" s="59">
        <f t="shared" si="31"/>
        <v>5525.9</v>
      </c>
      <c r="X307" s="60">
        <f t="shared" si="32"/>
        <v>67.4074074074074</v>
      </c>
      <c r="AC307" s="53"/>
      <c r="AL307" s="65">
        <f>_xlfn.IFERROR(INDEX('Tabela PW'!$T:$T,'Słownik PW'!C307,1),"")</f>
        <v>5824</v>
      </c>
    </row>
    <row r="308" spans="1:38" ht="15">
      <c r="A308" s="4" t="s">
        <v>232</v>
      </c>
      <c r="B308" s="5" t="s">
        <v>680</v>
      </c>
      <c r="C308" s="49" t="s">
        <v>322</v>
      </c>
      <c r="D308" s="349">
        <f t="shared" si="28"/>
        <v>134</v>
      </c>
      <c r="E308" s="350" t="s">
        <v>1013</v>
      </c>
      <c r="F308" s="51" t="s">
        <v>74</v>
      </c>
      <c r="G308" s="351" t="s">
        <v>671</v>
      </c>
      <c r="H308" s="351" t="s">
        <v>1992</v>
      </c>
      <c r="I308" s="351" t="s">
        <v>1993</v>
      </c>
      <c r="J308" s="351" t="s">
        <v>4007</v>
      </c>
      <c r="K308" s="354">
        <v>340224</v>
      </c>
      <c r="L308" s="355">
        <v>339025</v>
      </c>
      <c r="M308" s="354">
        <v>311458</v>
      </c>
      <c r="N308" s="355">
        <v>322485</v>
      </c>
      <c r="O308" s="355">
        <v>403543</v>
      </c>
      <c r="P308" s="355">
        <v>391247</v>
      </c>
      <c r="Q308" s="355">
        <v>422636</v>
      </c>
      <c r="R308" s="355">
        <v>420179</v>
      </c>
      <c r="S308" s="355">
        <v>480763</v>
      </c>
      <c r="T308" s="355">
        <v>509791</v>
      </c>
      <c r="U308" s="59">
        <f t="shared" si="29"/>
        <v>311458</v>
      </c>
      <c r="V308" s="59">
        <f t="shared" si="30"/>
        <v>509791</v>
      </c>
      <c r="W308" s="59">
        <f t="shared" si="31"/>
        <v>394135.1</v>
      </c>
      <c r="X308" s="60">
        <f t="shared" si="32"/>
        <v>149.83981141835966</v>
      </c>
      <c r="AC308" s="53"/>
      <c r="AL308" s="65">
        <f>_xlfn.IFERROR(INDEX('Tabela PW'!$T:$T,'Słownik PW'!C308,1),"")</f>
        <v>509791</v>
      </c>
    </row>
    <row r="309" spans="1:38" ht="15">
      <c r="A309" s="4" t="s">
        <v>232</v>
      </c>
      <c r="B309" s="5" t="s">
        <v>680</v>
      </c>
      <c r="C309" s="49" t="s">
        <v>322</v>
      </c>
      <c r="D309" s="349">
        <f t="shared" si="28"/>
        <v>134</v>
      </c>
      <c r="E309" s="350" t="s">
        <v>1014</v>
      </c>
      <c r="F309" s="51" t="s">
        <v>25</v>
      </c>
      <c r="G309" s="351" t="s">
        <v>683</v>
      </c>
      <c r="H309" s="351" t="s">
        <v>1994</v>
      </c>
      <c r="I309" s="351" t="s">
        <v>1995</v>
      </c>
      <c r="J309" s="351" t="s">
        <v>4008</v>
      </c>
      <c r="K309" s="354">
        <v>38077</v>
      </c>
      <c r="L309" s="355">
        <v>38625</v>
      </c>
      <c r="M309" s="354">
        <v>35409</v>
      </c>
      <c r="N309" s="355">
        <v>36465</v>
      </c>
      <c r="O309" s="355">
        <v>46126</v>
      </c>
      <c r="P309" s="355">
        <v>44800</v>
      </c>
      <c r="Q309" s="355">
        <v>48352</v>
      </c>
      <c r="R309" s="355">
        <v>49214</v>
      </c>
      <c r="S309" s="355">
        <v>55190</v>
      </c>
      <c r="T309" s="355">
        <v>58910</v>
      </c>
      <c r="U309" s="59">
        <f t="shared" si="29"/>
        <v>35409</v>
      </c>
      <c r="V309" s="59">
        <f t="shared" si="30"/>
        <v>58910</v>
      </c>
      <c r="W309" s="59">
        <f t="shared" si="31"/>
        <v>45116.8</v>
      </c>
      <c r="X309" s="60">
        <f t="shared" si="32"/>
        <v>154.7128187619823</v>
      </c>
      <c r="AC309" s="53"/>
      <c r="AL309" s="65">
        <f>_xlfn.IFERROR(INDEX('Tabela PW'!$T:$T,'Słownik PW'!C309,1),"")</f>
        <v>58910</v>
      </c>
    </row>
    <row r="310" spans="1:38" ht="15">
      <c r="A310" s="4" t="s">
        <v>232</v>
      </c>
      <c r="B310" s="5" t="s">
        <v>680</v>
      </c>
      <c r="C310" s="49" t="s">
        <v>323</v>
      </c>
      <c r="D310" s="349">
        <f t="shared" si="28"/>
        <v>207</v>
      </c>
      <c r="E310" s="350" t="s">
        <v>1015</v>
      </c>
      <c r="F310" s="51" t="s">
        <v>74</v>
      </c>
      <c r="G310" s="351" t="s">
        <v>671</v>
      </c>
      <c r="H310" s="351" t="s">
        <v>1996</v>
      </c>
      <c r="I310" s="351" t="s">
        <v>1997</v>
      </c>
      <c r="J310" s="351" t="s">
        <v>4009</v>
      </c>
      <c r="K310" s="354">
        <v>36495</v>
      </c>
      <c r="L310" s="355">
        <v>37806</v>
      </c>
      <c r="M310" s="354">
        <v>38344</v>
      </c>
      <c r="N310" s="355">
        <v>33576</v>
      </c>
      <c r="O310" s="355">
        <v>45159</v>
      </c>
      <c r="P310" s="355">
        <v>42396</v>
      </c>
      <c r="Q310" s="355">
        <v>54490</v>
      </c>
      <c r="R310" s="355">
        <v>56974</v>
      </c>
      <c r="S310" s="355">
        <v>40512</v>
      </c>
      <c r="T310" s="355">
        <v>43753</v>
      </c>
      <c r="U310" s="59">
        <f t="shared" si="29"/>
        <v>33576</v>
      </c>
      <c r="V310" s="59">
        <f t="shared" si="30"/>
        <v>56974</v>
      </c>
      <c r="W310" s="59">
        <f t="shared" si="31"/>
        <v>42950.5</v>
      </c>
      <c r="X310" s="60">
        <f t="shared" si="32"/>
        <v>119.88765584326619</v>
      </c>
      <c r="AC310" s="53"/>
      <c r="AL310" s="65">
        <f>_xlfn.IFERROR(INDEX('Tabela PW'!$T:$T,'Słownik PW'!C310,1),"")</f>
        <v>43753</v>
      </c>
    </row>
    <row r="311" spans="1:38" ht="15">
      <c r="A311" s="4" t="s">
        <v>232</v>
      </c>
      <c r="B311" s="5" t="s">
        <v>680</v>
      </c>
      <c r="C311" s="49" t="s">
        <v>323</v>
      </c>
      <c r="D311" s="349">
        <f t="shared" si="28"/>
        <v>207</v>
      </c>
      <c r="E311" s="350" t="s">
        <v>1016</v>
      </c>
      <c r="F311" s="51" t="s">
        <v>25</v>
      </c>
      <c r="G311" s="351" t="s">
        <v>683</v>
      </c>
      <c r="H311" s="351" t="s">
        <v>1998</v>
      </c>
      <c r="I311" s="351" t="s">
        <v>1999</v>
      </c>
      <c r="J311" s="351" t="s">
        <v>4010</v>
      </c>
      <c r="K311" s="354">
        <v>3916</v>
      </c>
      <c r="L311" s="355">
        <v>4185</v>
      </c>
      <c r="M311" s="354">
        <v>3980</v>
      </c>
      <c r="N311" s="355">
        <v>3455</v>
      </c>
      <c r="O311" s="355">
        <v>4572</v>
      </c>
      <c r="P311" s="355">
        <v>4325</v>
      </c>
      <c r="Q311" s="355">
        <v>5573</v>
      </c>
      <c r="R311" s="355">
        <v>5794</v>
      </c>
      <c r="S311" s="355">
        <v>4097</v>
      </c>
      <c r="T311" s="355">
        <v>4497</v>
      </c>
      <c r="U311" s="59">
        <f t="shared" si="29"/>
        <v>3455</v>
      </c>
      <c r="V311" s="59">
        <f t="shared" si="30"/>
        <v>5794</v>
      </c>
      <c r="W311" s="59">
        <f t="shared" si="31"/>
        <v>4439.4</v>
      </c>
      <c r="X311" s="60">
        <f t="shared" si="32"/>
        <v>114.83656792645556</v>
      </c>
      <c r="AC311" s="53"/>
      <c r="AL311" s="65">
        <f>_xlfn.IFERROR(INDEX('Tabela PW'!$T:$T,'Słownik PW'!C311,1),"")</f>
        <v>4497</v>
      </c>
    </row>
    <row r="312" spans="1:38" ht="15">
      <c r="A312" s="4" t="s">
        <v>232</v>
      </c>
      <c r="B312" s="5" t="s">
        <v>680</v>
      </c>
      <c r="C312" s="49" t="s">
        <v>324</v>
      </c>
      <c r="D312" s="349">
        <f t="shared" si="28"/>
        <v>159</v>
      </c>
      <c r="E312" s="350" t="s">
        <v>1017</v>
      </c>
      <c r="F312" s="51" t="s">
        <v>74</v>
      </c>
      <c r="G312" s="351" t="s">
        <v>671</v>
      </c>
      <c r="H312" s="351" t="s">
        <v>2000</v>
      </c>
      <c r="I312" s="351" t="s">
        <v>2001</v>
      </c>
      <c r="J312" s="351" t="s">
        <v>4011</v>
      </c>
      <c r="K312" s="354">
        <v>185649</v>
      </c>
      <c r="L312" s="355">
        <v>165699</v>
      </c>
      <c r="M312" s="354">
        <v>182374</v>
      </c>
      <c r="N312" s="355">
        <v>185369</v>
      </c>
      <c r="O312" s="355">
        <v>239951</v>
      </c>
      <c r="P312" s="355">
        <v>283957</v>
      </c>
      <c r="Q312" s="355">
        <v>291640</v>
      </c>
      <c r="R312" s="355">
        <v>317378</v>
      </c>
      <c r="S312" s="355">
        <v>295008</v>
      </c>
      <c r="T312" s="355">
        <v>290701</v>
      </c>
      <c r="U312" s="59">
        <f t="shared" si="29"/>
        <v>165699</v>
      </c>
      <c r="V312" s="59">
        <f t="shared" si="30"/>
        <v>317378</v>
      </c>
      <c r="W312" s="59">
        <f t="shared" si="31"/>
        <v>243772.6</v>
      </c>
      <c r="X312" s="60">
        <f t="shared" si="32"/>
        <v>156.58635381822688</v>
      </c>
      <c r="AC312" s="53"/>
      <c r="AL312" s="65">
        <f>_xlfn.IFERROR(INDEX('Tabela PW'!$T:$T,'Słownik PW'!C312,1),"")</f>
        <v>290701</v>
      </c>
    </row>
    <row r="313" spans="1:38" ht="15">
      <c r="A313" s="4" t="s">
        <v>232</v>
      </c>
      <c r="B313" s="5" t="s">
        <v>680</v>
      </c>
      <c r="C313" s="49" t="s">
        <v>324</v>
      </c>
      <c r="D313" s="349">
        <f t="shared" si="28"/>
        <v>159</v>
      </c>
      <c r="E313" s="350" t="s">
        <v>1018</v>
      </c>
      <c r="F313" s="51" t="s">
        <v>25</v>
      </c>
      <c r="G313" s="351" t="s">
        <v>683</v>
      </c>
      <c r="H313" s="351" t="s">
        <v>2002</v>
      </c>
      <c r="I313" s="351" t="s">
        <v>2003</v>
      </c>
      <c r="J313" s="351" t="s">
        <v>4012</v>
      </c>
      <c r="K313" s="354">
        <v>24772</v>
      </c>
      <c r="L313" s="355">
        <v>22436</v>
      </c>
      <c r="M313" s="354">
        <v>24524</v>
      </c>
      <c r="N313" s="355">
        <v>24766</v>
      </c>
      <c r="O313" s="355">
        <v>32881</v>
      </c>
      <c r="P313" s="355">
        <v>37948</v>
      </c>
      <c r="Q313" s="355">
        <v>40100</v>
      </c>
      <c r="R313" s="355">
        <v>42996</v>
      </c>
      <c r="S313" s="355">
        <v>39307</v>
      </c>
      <c r="T313" s="355">
        <v>38709</v>
      </c>
      <c r="U313" s="59">
        <f t="shared" si="29"/>
        <v>22436</v>
      </c>
      <c r="V313" s="59">
        <f t="shared" si="30"/>
        <v>42996</v>
      </c>
      <c r="W313" s="59">
        <f t="shared" si="31"/>
        <v>32843.9</v>
      </c>
      <c r="X313" s="60">
        <f t="shared" si="32"/>
        <v>156.26110124333925</v>
      </c>
      <c r="AC313" s="53"/>
      <c r="AL313" s="65">
        <f>_xlfn.IFERROR(INDEX('Tabela PW'!$T:$T,'Słownik PW'!C313,1),"")</f>
        <v>38709</v>
      </c>
    </row>
    <row r="314" spans="1:38" ht="15">
      <c r="A314" s="4" t="s">
        <v>232</v>
      </c>
      <c r="B314" s="5" t="s">
        <v>680</v>
      </c>
      <c r="C314" s="49" t="s">
        <v>325</v>
      </c>
      <c r="D314" s="349">
        <f t="shared" si="28"/>
        <v>141</v>
      </c>
      <c r="E314" s="350" t="s">
        <v>1019</v>
      </c>
      <c r="F314" s="51" t="s">
        <v>25</v>
      </c>
      <c r="G314" s="351" t="s">
        <v>683</v>
      </c>
      <c r="H314" s="351" t="s">
        <v>2004</v>
      </c>
      <c r="I314" s="351" t="s">
        <v>2005</v>
      </c>
      <c r="J314" s="351" t="s">
        <v>4013</v>
      </c>
      <c r="K314" s="354">
        <v>408226</v>
      </c>
      <c r="L314" s="355">
        <v>458305</v>
      </c>
      <c r="M314" s="354">
        <v>320698</v>
      </c>
      <c r="N314" s="355">
        <v>396389</v>
      </c>
      <c r="O314" s="355">
        <v>348404</v>
      </c>
      <c r="P314" s="355">
        <v>436565</v>
      </c>
      <c r="Q314" s="355">
        <v>380951</v>
      </c>
      <c r="R314" s="355">
        <v>348431</v>
      </c>
      <c r="S314" s="355">
        <v>361381</v>
      </c>
      <c r="T314" s="355">
        <v>347782</v>
      </c>
      <c r="U314" s="59">
        <f t="shared" si="29"/>
        <v>320698</v>
      </c>
      <c r="V314" s="59">
        <f t="shared" si="30"/>
        <v>458305</v>
      </c>
      <c r="W314" s="59">
        <f t="shared" si="31"/>
        <v>380713.2</v>
      </c>
      <c r="X314" s="60">
        <f t="shared" si="32"/>
        <v>85.19349575970173</v>
      </c>
      <c r="AC314" s="53"/>
      <c r="AL314" s="65">
        <f>_xlfn.IFERROR(INDEX('Tabela PW'!$T:$T,'Słownik PW'!C314,1),"")</f>
        <v>347782</v>
      </c>
    </row>
    <row r="315" spans="1:38" ht="15">
      <c r="A315" s="4" t="s">
        <v>232</v>
      </c>
      <c r="B315" s="5" t="s">
        <v>680</v>
      </c>
      <c r="C315" s="49" t="s">
        <v>326</v>
      </c>
      <c r="D315" s="349">
        <f t="shared" si="28"/>
        <v>133</v>
      </c>
      <c r="E315" s="350" t="s">
        <v>1020</v>
      </c>
      <c r="F315" s="51" t="s">
        <v>25</v>
      </c>
      <c r="G315" s="351" t="s">
        <v>683</v>
      </c>
      <c r="H315" s="351" t="s">
        <v>2006</v>
      </c>
      <c r="I315" s="351" t="s">
        <v>2007</v>
      </c>
      <c r="J315" s="351" t="s">
        <v>4014</v>
      </c>
      <c r="K315" s="354">
        <v>10730</v>
      </c>
      <c r="L315" s="355">
        <v>12684</v>
      </c>
      <c r="M315" s="354">
        <v>12823</v>
      </c>
      <c r="N315" s="355">
        <v>14359</v>
      </c>
      <c r="O315" s="355">
        <v>15242</v>
      </c>
      <c r="P315" s="355">
        <v>14961</v>
      </c>
      <c r="Q315" s="355">
        <v>15914</v>
      </c>
      <c r="R315" s="355">
        <v>14016</v>
      </c>
      <c r="S315" s="355">
        <v>14814</v>
      </c>
      <c r="T315" s="355">
        <v>16729</v>
      </c>
      <c r="U315" s="59">
        <f t="shared" si="29"/>
        <v>10730</v>
      </c>
      <c r="V315" s="59">
        <f t="shared" si="30"/>
        <v>16729</v>
      </c>
      <c r="W315" s="59">
        <f t="shared" si="31"/>
        <v>14227.2</v>
      </c>
      <c r="X315" s="60">
        <f t="shared" si="32"/>
        <v>155.90866728797764</v>
      </c>
      <c r="AC315" s="53"/>
      <c r="AL315" s="65">
        <f>_xlfn.IFERROR(INDEX('Tabela PW'!$T:$T,'Słownik PW'!C315,1),"")</f>
        <v>16729</v>
      </c>
    </row>
    <row r="316" spans="1:38" ht="15">
      <c r="A316" s="4" t="s">
        <v>232</v>
      </c>
      <c r="B316" s="5" t="s">
        <v>680</v>
      </c>
      <c r="C316" s="49" t="s">
        <v>327</v>
      </c>
      <c r="D316" s="349">
        <f t="shared" si="28"/>
        <v>11</v>
      </c>
      <c r="E316" s="350" t="s">
        <v>1021</v>
      </c>
      <c r="F316" s="51" t="s">
        <v>25</v>
      </c>
      <c r="G316" s="351" t="s">
        <v>683</v>
      </c>
      <c r="H316" s="351" t="s">
        <v>2008</v>
      </c>
      <c r="I316" s="351" t="s">
        <v>2009</v>
      </c>
      <c r="J316" s="351" t="s">
        <v>4015</v>
      </c>
      <c r="K316" s="354">
        <v>324</v>
      </c>
      <c r="L316" s="355">
        <v>290</v>
      </c>
      <c r="M316" s="354">
        <v>261</v>
      </c>
      <c r="N316" s="355">
        <v>372</v>
      </c>
      <c r="O316" s="355">
        <v>324</v>
      </c>
      <c r="P316" s="355">
        <v>178</v>
      </c>
      <c r="Q316" s="355">
        <v>217</v>
      </c>
      <c r="R316" s="355" t="s">
        <v>4569</v>
      </c>
      <c r="S316" s="355">
        <v>5035</v>
      </c>
      <c r="T316" s="355">
        <v>5063</v>
      </c>
      <c r="U316" s="59">
        <f t="shared" si="29"/>
        <v>178</v>
      </c>
      <c r="V316" s="59">
        <f t="shared" si="30"/>
        <v>5063</v>
      </c>
      <c r="W316" s="59">
        <f t="shared" si="31"/>
        <v>1340.4444444444443</v>
      </c>
      <c r="X316" s="60">
        <f t="shared" si="32"/>
        <v>1562.6543209876543</v>
      </c>
      <c r="AC316" s="53"/>
      <c r="AL316" s="65">
        <f>_xlfn.IFERROR(INDEX('Tabela PW'!$T:$T,'Słownik PW'!C316,1),"")</f>
        <v>5063</v>
      </c>
    </row>
    <row r="317" spans="1:38" ht="15">
      <c r="A317" s="4" t="s">
        <v>232</v>
      </c>
      <c r="B317" s="5" t="s">
        <v>680</v>
      </c>
      <c r="C317" s="49" t="s">
        <v>328</v>
      </c>
      <c r="D317" s="349">
        <f t="shared" si="28"/>
        <v>82</v>
      </c>
      <c r="E317" s="350" t="s">
        <v>1022</v>
      </c>
      <c r="F317" s="51" t="s">
        <v>25</v>
      </c>
      <c r="G317" s="351" t="s">
        <v>683</v>
      </c>
      <c r="H317" s="351" t="s">
        <v>2010</v>
      </c>
      <c r="I317" s="351" t="s">
        <v>2011</v>
      </c>
      <c r="J317" s="351" t="s">
        <v>4016</v>
      </c>
      <c r="K317" s="354">
        <v>108098</v>
      </c>
      <c r="L317" s="355">
        <v>120209</v>
      </c>
      <c r="M317" s="354">
        <v>120039</v>
      </c>
      <c r="N317" s="355">
        <v>114108</v>
      </c>
      <c r="O317" s="355">
        <v>127663</v>
      </c>
      <c r="P317" s="366">
        <v>129253</v>
      </c>
      <c r="Q317" s="366">
        <v>152141</v>
      </c>
      <c r="R317" s="355">
        <v>160735</v>
      </c>
      <c r="S317" s="355">
        <v>169328</v>
      </c>
      <c r="T317" s="355">
        <v>175712</v>
      </c>
      <c r="U317" s="59">
        <f t="shared" si="29"/>
        <v>108098</v>
      </c>
      <c r="V317" s="59">
        <f t="shared" si="30"/>
        <v>175712</v>
      </c>
      <c r="W317" s="59">
        <f t="shared" si="31"/>
        <v>137728.6</v>
      </c>
      <c r="X317" s="60">
        <f t="shared" si="32"/>
        <v>162.54879831264225</v>
      </c>
      <c r="AC317" s="53"/>
      <c r="AL317" s="65">
        <f>_xlfn.IFERROR(INDEX('Tabela PW'!$T:$T,'Słownik PW'!C317,1),"")</f>
        <v>175712</v>
      </c>
    </row>
    <row r="318" spans="1:38" ht="15">
      <c r="A318" s="4" t="s">
        <v>232</v>
      </c>
      <c r="B318" s="5" t="s">
        <v>680</v>
      </c>
      <c r="C318" s="49" t="s">
        <v>329</v>
      </c>
      <c r="D318" s="349">
        <f t="shared" si="28"/>
        <v>109</v>
      </c>
      <c r="E318" s="350" t="s">
        <v>1023</v>
      </c>
      <c r="F318" s="51" t="s">
        <v>25</v>
      </c>
      <c r="G318" s="351" t="s">
        <v>683</v>
      </c>
      <c r="H318" s="351" t="s">
        <v>2012</v>
      </c>
      <c r="I318" s="351" t="s">
        <v>2013</v>
      </c>
      <c r="J318" s="351" t="s">
        <v>4017</v>
      </c>
      <c r="K318" s="354">
        <v>1156</v>
      </c>
      <c r="L318" s="355">
        <v>1292</v>
      </c>
      <c r="M318" s="354">
        <v>1271</v>
      </c>
      <c r="N318" s="355">
        <v>2151</v>
      </c>
      <c r="O318" s="355">
        <v>1176</v>
      </c>
      <c r="P318" s="355">
        <v>1967</v>
      </c>
      <c r="Q318" s="355">
        <v>1556</v>
      </c>
      <c r="R318" s="355">
        <v>2338</v>
      </c>
      <c r="S318" s="355">
        <v>3295</v>
      </c>
      <c r="T318" s="355">
        <v>3423</v>
      </c>
      <c r="U318" s="59">
        <f t="shared" si="29"/>
        <v>1156</v>
      </c>
      <c r="V318" s="59">
        <f t="shared" si="30"/>
        <v>3423</v>
      </c>
      <c r="W318" s="59">
        <f t="shared" si="31"/>
        <v>1962.5</v>
      </c>
      <c r="X318" s="60">
        <f t="shared" si="32"/>
        <v>296.10726643598616</v>
      </c>
      <c r="AC318" s="53"/>
      <c r="AL318" s="65">
        <f>_xlfn.IFERROR(INDEX('Tabela PW'!$T:$T,'Słownik PW'!C318,1),"")</f>
        <v>3423</v>
      </c>
    </row>
    <row r="319" spans="1:38" ht="15">
      <c r="A319" s="4" t="s">
        <v>232</v>
      </c>
      <c r="B319" s="5" t="s">
        <v>680</v>
      </c>
      <c r="C319" s="49" t="s">
        <v>330</v>
      </c>
      <c r="D319" s="349">
        <f t="shared" si="28"/>
        <v>63</v>
      </c>
      <c r="E319" s="350" t="s">
        <v>1024</v>
      </c>
      <c r="F319" s="51" t="s">
        <v>25</v>
      </c>
      <c r="G319" s="351" t="s">
        <v>683</v>
      </c>
      <c r="H319" s="351" t="s">
        <v>2014</v>
      </c>
      <c r="I319" s="351" t="s">
        <v>2015</v>
      </c>
      <c r="J319" s="351" t="s">
        <v>4018</v>
      </c>
      <c r="K319" s="354">
        <v>32769</v>
      </c>
      <c r="L319" s="355">
        <v>31393</v>
      </c>
      <c r="M319" s="354">
        <v>22534</v>
      </c>
      <c r="N319" s="355">
        <v>18468</v>
      </c>
      <c r="O319" s="355">
        <v>19705</v>
      </c>
      <c r="P319" s="355">
        <v>30640</v>
      </c>
      <c r="Q319" s="355">
        <v>28500</v>
      </c>
      <c r="R319" s="355">
        <v>14697</v>
      </c>
      <c r="S319" s="355">
        <v>25324</v>
      </c>
      <c r="T319" s="355">
        <v>26981</v>
      </c>
      <c r="U319" s="59">
        <f t="shared" si="29"/>
        <v>14697</v>
      </c>
      <c r="V319" s="59">
        <f t="shared" si="30"/>
        <v>32769</v>
      </c>
      <c r="W319" s="59">
        <f t="shared" si="31"/>
        <v>25101.1</v>
      </c>
      <c r="X319" s="60">
        <f t="shared" si="32"/>
        <v>82.3369648143062</v>
      </c>
      <c r="AC319" s="53"/>
      <c r="AL319" s="65">
        <f>_xlfn.IFERROR(INDEX('Tabela PW'!$T:$T,'Słownik PW'!C319,1),"")</f>
        <v>26981</v>
      </c>
    </row>
    <row r="320" spans="1:38" ht="15">
      <c r="A320" s="4" t="s">
        <v>232</v>
      </c>
      <c r="B320" s="5" t="s">
        <v>680</v>
      </c>
      <c r="C320" s="49" t="s">
        <v>331</v>
      </c>
      <c r="D320" s="349">
        <f t="shared" si="28"/>
        <v>82</v>
      </c>
      <c r="E320" s="350" t="s">
        <v>1025</v>
      </c>
      <c r="F320" s="51" t="s">
        <v>25</v>
      </c>
      <c r="G320" s="351" t="s">
        <v>683</v>
      </c>
      <c r="H320" s="351" t="s">
        <v>2016</v>
      </c>
      <c r="I320" s="351" t="s">
        <v>2017</v>
      </c>
      <c r="J320" s="351" t="s">
        <v>4019</v>
      </c>
      <c r="K320" s="354">
        <v>86531</v>
      </c>
      <c r="L320" s="355">
        <v>110706</v>
      </c>
      <c r="M320" s="354">
        <v>122530</v>
      </c>
      <c r="N320" s="355">
        <v>142050</v>
      </c>
      <c r="O320" s="355">
        <v>150970</v>
      </c>
      <c r="P320" s="355">
        <v>161597</v>
      </c>
      <c r="Q320" s="355">
        <v>173761</v>
      </c>
      <c r="R320" s="355">
        <v>194940</v>
      </c>
      <c r="S320" s="355">
        <v>243430</v>
      </c>
      <c r="T320" s="355">
        <v>262605</v>
      </c>
      <c r="U320" s="59">
        <f t="shared" si="29"/>
        <v>86531</v>
      </c>
      <c r="V320" s="59">
        <f t="shared" si="30"/>
        <v>262605</v>
      </c>
      <c r="W320" s="59">
        <f t="shared" si="31"/>
        <v>164912</v>
      </c>
      <c r="X320" s="60">
        <f t="shared" si="32"/>
        <v>303.48083345852933</v>
      </c>
      <c r="AC320" s="53"/>
      <c r="AL320" s="65">
        <f>_xlfn.IFERROR(INDEX('Tabela PW'!$T:$T,'Słownik PW'!C320,1),"")</f>
        <v>262605</v>
      </c>
    </row>
    <row r="321" spans="1:38" ht="15">
      <c r="A321" s="4" t="s">
        <v>232</v>
      </c>
      <c r="B321" s="5" t="s">
        <v>680</v>
      </c>
      <c r="C321" s="49" t="s">
        <v>332</v>
      </c>
      <c r="D321" s="349">
        <f t="shared" si="28"/>
        <v>93</v>
      </c>
      <c r="E321" s="350" t="s">
        <v>1026</v>
      </c>
      <c r="F321" s="51" t="s">
        <v>25</v>
      </c>
      <c r="G321" s="351" t="s">
        <v>683</v>
      </c>
      <c r="H321" s="351" t="s">
        <v>2018</v>
      </c>
      <c r="I321" s="351" t="s">
        <v>2019</v>
      </c>
      <c r="J321" s="351" t="s">
        <v>4020</v>
      </c>
      <c r="K321" s="354">
        <v>602261</v>
      </c>
      <c r="L321" s="355">
        <v>634544</v>
      </c>
      <c r="M321" s="354">
        <v>721607</v>
      </c>
      <c r="N321" s="355">
        <v>754119</v>
      </c>
      <c r="O321" s="355">
        <v>780714</v>
      </c>
      <c r="P321" s="355">
        <v>743217</v>
      </c>
      <c r="Q321" s="355">
        <v>748567</v>
      </c>
      <c r="R321" s="355">
        <v>763471</v>
      </c>
      <c r="S321" s="355">
        <v>782554</v>
      </c>
      <c r="T321" s="355">
        <v>798386</v>
      </c>
      <c r="U321" s="59">
        <f t="shared" si="29"/>
        <v>602261</v>
      </c>
      <c r="V321" s="59">
        <f t="shared" si="30"/>
        <v>798386</v>
      </c>
      <c r="W321" s="59">
        <f t="shared" si="31"/>
        <v>732944</v>
      </c>
      <c r="X321" s="60">
        <f t="shared" si="32"/>
        <v>132.56478503505954</v>
      </c>
      <c r="AC321" s="53"/>
      <c r="AL321" s="65">
        <f>_xlfn.IFERROR(INDEX('Tabela PW'!$T:$T,'Słownik PW'!C321,1),"")</f>
        <v>798386</v>
      </c>
    </row>
    <row r="322" spans="1:38" ht="15">
      <c r="A322" s="4" t="s">
        <v>232</v>
      </c>
      <c r="B322" s="5" t="s">
        <v>680</v>
      </c>
      <c r="C322" s="49" t="s">
        <v>333</v>
      </c>
      <c r="D322" s="349">
        <f aca="true" t="shared" si="33" ref="D322:D385">LEN(C322)</f>
        <v>94</v>
      </c>
      <c r="E322" s="350" t="s">
        <v>1027</v>
      </c>
      <c r="F322" s="51" t="s">
        <v>25</v>
      </c>
      <c r="G322" s="351" t="s">
        <v>683</v>
      </c>
      <c r="H322" s="351" t="s">
        <v>2020</v>
      </c>
      <c r="I322" s="351" t="s">
        <v>2021</v>
      </c>
      <c r="J322" s="351" t="s">
        <v>4021</v>
      </c>
      <c r="K322" s="354">
        <v>25759</v>
      </c>
      <c r="L322" s="355">
        <v>33736</v>
      </c>
      <c r="M322" s="354">
        <v>37083</v>
      </c>
      <c r="N322" s="355">
        <v>28528</v>
      </c>
      <c r="O322" s="355">
        <v>28063</v>
      </c>
      <c r="P322" s="355">
        <v>28544</v>
      </c>
      <c r="Q322" s="355">
        <v>22849</v>
      </c>
      <c r="R322" s="355">
        <v>22896</v>
      </c>
      <c r="S322" s="355">
        <v>24987</v>
      </c>
      <c r="T322" s="355">
        <v>26998</v>
      </c>
      <c r="U322" s="59">
        <f t="shared" si="29"/>
        <v>22849</v>
      </c>
      <c r="V322" s="59">
        <f t="shared" si="30"/>
        <v>37083</v>
      </c>
      <c r="W322" s="59">
        <f t="shared" si="31"/>
        <v>27944.3</v>
      </c>
      <c r="X322" s="60">
        <f t="shared" si="32"/>
        <v>104.80996933110758</v>
      </c>
      <c r="AC322" s="53"/>
      <c r="AL322" s="65">
        <f>_xlfn.IFERROR(INDEX('Tabela PW'!$T:$T,'Słownik PW'!C322,1),"")</f>
        <v>26998</v>
      </c>
    </row>
    <row r="323" spans="1:38" ht="15">
      <c r="A323" s="4" t="s">
        <v>232</v>
      </c>
      <c r="B323" s="5" t="s">
        <v>680</v>
      </c>
      <c r="C323" s="49" t="s">
        <v>334</v>
      </c>
      <c r="D323" s="349">
        <f t="shared" si="33"/>
        <v>31</v>
      </c>
      <c r="E323" s="350" t="s">
        <v>1028</v>
      </c>
      <c r="F323" s="51" t="s">
        <v>25</v>
      </c>
      <c r="G323" s="351" t="s">
        <v>683</v>
      </c>
      <c r="H323" s="351" t="s">
        <v>2022</v>
      </c>
      <c r="I323" s="351" t="s">
        <v>2023</v>
      </c>
      <c r="J323" s="351" t="s">
        <v>4022</v>
      </c>
      <c r="K323" s="354">
        <v>87857</v>
      </c>
      <c r="L323" s="355">
        <v>91987</v>
      </c>
      <c r="M323" s="354">
        <v>111280</v>
      </c>
      <c r="N323" s="355">
        <v>123778</v>
      </c>
      <c r="O323" s="355">
        <v>151758</v>
      </c>
      <c r="P323" s="355">
        <v>159268</v>
      </c>
      <c r="Q323" s="355">
        <v>177133</v>
      </c>
      <c r="R323" s="355">
        <v>170246</v>
      </c>
      <c r="S323" s="355">
        <v>174565</v>
      </c>
      <c r="T323" s="355">
        <v>174687</v>
      </c>
      <c r="U323" s="59">
        <f aca="true" t="shared" si="34" ref="U323:U386">MIN(K323:T323)</f>
        <v>87857</v>
      </c>
      <c r="V323" s="59">
        <f aca="true" t="shared" si="35" ref="V323:V386">MAX(K323:T323)</f>
        <v>177133</v>
      </c>
      <c r="W323" s="59">
        <f aca="true" t="shared" si="36" ref="W323:W386">AVERAGE(K323:T323)</f>
        <v>142255.9</v>
      </c>
      <c r="X323" s="60">
        <f aca="true" t="shared" si="37" ref="X323:X386">_xlfn.IFERROR(T323/K323*100,"-")</f>
        <v>198.83105500984556</v>
      </c>
      <c r="AC323" s="53"/>
      <c r="AL323" s="65">
        <f>_xlfn.IFERROR(INDEX('Tabela PW'!$T:$T,'Słownik PW'!C323,1),"")</f>
        <v>174687</v>
      </c>
    </row>
    <row r="324" spans="1:38" ht="15">
      <c r="A324" s="4" t="s">
        <v>232</v>
      </c>
      <c r="B324" s="5" t="s">
        <v>680</v>
      </c>
      <c r="C324" s="49" t="s">
        <v>335</v>
      </c>
      <c r="D324" s="349">
        <f t="shared" si="33"/>
        <v>7</v>
      </c>
      <c r="E324" s="350" t="s">
        <v>1029</v>
      </c>
      <c r="F324" s="51" t="s">
        <v>25</v>
      </c>
      <c r="G324" s="351" t="s">
        <v>683</v>
      </c>
      <c r="H324" s="351" t="s">
        <v>2024</v>
      </c>
      <c r="I324" s="351" t="s">
        <v>2025</v>
      </c>
      <c r="J324" s="351" t="s">
        <v>4023</v>
      </c>
      <c r="K324" s="354">
        <v>5715</v>
      </c>
      <c r="L324" s="355">
        <v>5778</v>
      </c>
      <c r="M324" s="354">
        <v>5106</v>
      </c>
      <c r="N324" s="355">
        <v>5131</v>
      </c>
      <c r="O324" s="355">
        <v>4379</v>
      </c>
      <c r="P324" s="355">
        <v>3889</v>
      </c>
      <c r="Q324" s="355">
        <v>3747</v>
      </c>
      <c r="R324" s="355">
        <v>3397</v>
      </c>
      <c r="S324" s="355">
        <v>2686</v>
      </c>
      <c r="T324" s="355">
        <v>2623</v>
      </c>
      <c r="U324" s="59">
        <f t="shared" si="34"/>
        <v>2623</v>
      </c>
      <c r="V324" s="59">
        <f t="shared" si="35"/>
        <v>5778</v>
      </c>
      <c r="W324" s="59">
        <f t="shared" si="36"/>
        <v>4245.1</v>
      </c>
      <c r="X324" s="60">
        <f t="shared" si="37"/>
        <v>45.89676290463692</v>
      </c>
      <c r="AC324" s="53"/>
      <c r="AL324" s="65">
        <f>_xlfn.IFERROR(INDEX('Tabela PW'!$T:$T,'Słownik PW'!C324,1),"")</f>
        <v>2623</v>
      </c>
    </row>
    <row r="325" spans="1:38" ht="15">
      <c r="A325" s="4" t="s">
        <v>232</v>
      </c>
      <c r="B325" s="5" t="s">
        <v>680</v>
      </c>
      <c r="C325" s="49" t="s">
        <v>336</v>
      </c>
      <c r="D325" s="349">
        <f t="shared" si="33"/>
        <v>35</v>
      </c>
      <c r="E325" s="350" t="s">
        <v>1030</v>
      </c>
      <c r="F325" s="51" t="s">
        <v>25</v>
      </c>
      <c r="G325" s="351" t="s">
        <v>683</v>
      </c>
      <c r="H325" s="351" t="s">
        <v>2026</v>
      </c>
      <c r="I325" s="351" t="s">
        <v>2027</v>
      </c>
      <c r="J325" s="351" t="s">
        <v>4024</v>
      </c>
      <c r="K325" s="354">
        <v>3613</v>
      </c>
      <c r="L325" s="355">
        <v>1227</v>
      </c>
      <c r="M325" s="354">
        <v>1206</v>
      </c>
      <c r="N325" s="355">
        <v>1361</v>
      </c>
      <c r="O325" s="355">
        <v>1599</v>
      </c>
      <c r="P325" s="355">
        <v>1727</v>
      </c>
      <c r="Q325" s="355">
        <v>1587</v>
      </c>
      <c r="R325" s="355">
        <v>1739</v>
      </c>
      <c r="S325" s="355">
        <v>1523</v>
      </c>
      <c r="T325" s="355">
        <v>2923</v>
      </c>
      <c r="U325" s="59">
        <f t="shared" si="34"/>
        <v>1206</v>
      </c>
      <c r="V325" s="59">
        <f t="shared" si="35"/>
        <v>3613</v>
      </c>
      <c r="W325" s="59">
        <f t="shared" si="36"/>
        <v>1850.5</v>
      </c>
      <c r="X325" s="60">
        <f t="shared" si="37"/>
        <v>80.90229725989482</v>
      </c>
      <c r="AC325" s="53"/>
      <c r="AL325" s="65">
        <f>_xlfn.IFERROR(INDEX('Tabela PW'!$T:$T,'Słownik PW'!C325,1),"")</f>
        <v>2923</v>
      </c>
    </row>
    <row r="326" spans="1:38" ht="15">
      <c r="A326" s="4" t="s">
        <v>232</v>
      </c>
      <c r="B326" s="5" t="s">
        <v>680</v>
      </c>
      <c r="C326" s="49" t="s">
        <v>337</v>
      </c>
      <c r="D326" s="349">
        <f t="shared" si="33"/>
        <v>34</v>
      </c>
      <c r="E326" s="350" t="s">
        <v>1031</v>
      </c>
      <c r="F326" s="51" t="s">
        <v>25</v>
      </c>
      <c r="G326" s="351" t="s">
        <v>683</v>
      </c>
      <c r="H326" s="351" t="s">
        <v>2028</v>
      </c>
      <c r="I326" s="351" t="s">
        <v>2029</v>
      </c>
      <c r="J326" s="351" t="s">
        <v>4025</v>
      </c>
      <c r="K326" s="354">
        <v>22391</v>
      </c>
      <c r="L326" s="355">
        <v>18790</v>
      </c>
      <c r="M326" s="354">
        <v>18746</v>
      </c>
      <c r="N326" s="355">
        <v>16397</v>
      </c>
      <c r="O326" s="355">
        <v>15591</v>
      </c>
      <c r="P326" s="355">
        <v>18624</v>
      </c>
      <c r="Q326" s="355">
        <v>18713</v>
      </c>
      <c r="R326" s="355">
        <v>23816</v>
      </c>
      <c r="S326" s="355">
        <v>26616</v>
      </c>
      <c r="T326" s="355">
        <v>29832</v>
      </c>
      <c r="U326" s="59">
        <f t="shared" si="34"/>
        <v>15591</v>
      </c>
      <c r="V326" s="59">
        <f t="shared" si="35"/>
        <v>29832</v>
      </c>
      <c r="W326" s="59">
        <f t="shared" si="36"/>
        <v>20951.6</v>
      </c>
      <c r="X326" s="60">
        <f t="shared" si="37"/>
        <v>133.23210218391318</v>
      </c>
      <c r="AC326" s="53"/>
      <c r="AL326" s="65">
        <f>_xlfn.IFERROR(INDEX('Tabela PW'!$T:$T,'Słownik PW'!C326,1),"")</f>
        <v>29832</v>
      </c>
    </row>
    <row r="327" spans="1:38" ht="15">
      <c r="A327" s="4" t="s">
        <v>232</v>
      </c>
      <c r="B327" s="5" t="s">
        <v>680</v>
      </c>
      <c r="C327" s="49" t="s">
        <v>338</v>
      </c>
      <c r="D327" s="349">
        <f t="shared" si="33"/>
        <v>37</v>
      </c>
      <c r="E327" s="350" t="s">
        <v>1032</v>
      </c>
      <c r="F327" s="51" t="s">
        <v>25</v>
      </c>
      <c r="G327" s="351" t="s">
        <v>683</v>
      </c>
      <c r="H327" s="351" t="s">
        <v>2030</v>
      </c>
      <c r="I327" s="351" t="s">
        <v>2031</v>
      </c>
      <c r="J327" s="351" t="s">
        <v>4026</v>
      </c>
      <c r="K327" s="354">
        <v>4898</v>
      </c>
      <c r="L327" s="355">
        <v>5558</v>
      </c>
      <c r="M327" s="354">
        <v>5888</v>
      </c>
      <c r="N327" s="355">
        <v>6174</v>
      </c>
      <c r="O327" s="355">
        <v>6892</v>
      </c>
      <c r="P327" s="355">
        <v>7307</v>
      </c>
      <c r="Q327" s="355">
        <v>7685</v>
      </c>
      <c r="R327" s="355">
        <v>9072</v>
      </c>
      <c r="S327" s="355">
        <v>6835</v>
      </c>
      <c r="T327" s="355">
        <v>6497</v>
      </c>
      <c r="U327" s="59">
        <f t="shared" si="34"/>
        <v>4898</v>
      </c>
      <c r="V327" s="59">
        <f t="shared" si="35"/>
        <v>9072</v>
      </c>
      <c r="W327" s="59">
        <f t="shared" si="36"/>
        <v>6680.6</v>
      </c>
      <c r="X327" s="60">
        <f t="shared" si="37"/>
        <v>132.64597795018375</v>
      </c>
      <c r="AC327" s="53"/>
      <c r="AL327" s="65">
        <f>_xlfn.IFERROR(INDEX('Tabela PW'!$T:$T,'Słownik PW'!C327,1),"")</f>
        <v>6497</v>
      </c>
    </row>
    <row r="328" spans="1:38" ht="15">
      <c r="A328" s="4" t="s">
        <v>232</v>
      </c>
      <c r="B328" s="5" t="s">
        <v>680</v>
      </c>
      <c r="C328" s="49" t="s">
        <v>339</v>
      </c>
      <c r="D328" s="349">
        <f t="shared" si="33"/>
        <v>89</v>
      </c>
      <c r="E328" s="350" t="s">
        <v>1033</v>
      </c>
      <c r="F328" s="51" t="s">
        <v>139</v>
      </c>
      <c r="G328" s="351" t="s">
        <v>674</v>
      </c>
      <c r="H328" s="351" t="s">
        <v>2032</v>
      </c>
      <c r="I328" s="351" t="s">
        <v>2033</v>
      </c>
      <c r="J328" s="351" t="s">
        <v>4027</v>
      </c>
      <c r="K328" s="354">
        <v>2907564</v>
      </c>
      <c r="L328" s="355">
        <v>3303110</v>
      </c>
      <c r="M328" s="354">
        <v>3552858</v>
      </c>
      <c r="N328" s="355">
        <v>2895556</v>
      </c>
      <c r="O328" s="355">
        <v>5693156</v>
      </c>
      <c r="P328" s="355">
        <v>6041002</v>
      </c>
      <c r="Q328" s="355">
        <v>6249010</v>
      </c>
      <c r="R328" s="355">
        <v>6403879</v>
      </c>
      <c r="S328" s="355">
        <v>9003844</v>
      </c>
      <c r="T328" s="355">
        <v>7263731</v>
      </c>
      <c r="U328" s="59">
        <f t="shared" si="34"/>
        <v>2895556</v>
      </c>
      <c r="V328" s="59">
        <f t="shared" si="35"/>
        <v>9003844</v>
      </c>
      <c r="W328" s="59">
        <f t="shared" si="36"/>
        <v>5331371</v>
      </c>
      <c r="X328" s="60">
        <f t="shared" si="37"/>
        <v>249.82187838341648</v>
      </c>
      <c r="AC328" s="53"/>
      <c r="AL328" s="65">
        <f>_xlfn.IFERROR(INDEX('Tabela PW'!$T:$T,'Słownik PW'!C328,1),"")</f>
        <v>7263731</v>
      </c>
    </row>
    <row r="329" spans="1:38" ht="15">
      <c r="A329" s="4" t="s">
        <v>232</v>
      </c>
      <c r="B329" s="5" t="s">
        <v>680</v>
      </c>
      <c r="C329" s="49" t="s">
        <v>340</v>
      </c>
      <c r="D329" s="349">
        <f t="shared" si="33"/>
        <v>72</v>
      </c>
      <c r="E329" s="350" t="s">
        <v>1034</v>
      </c>
      <c r="F329" s="51" t="s">
        <v>25</v>
      </c>
      <c r="G329" s="351" t="s">
        <v>683</v>
      </c>
      <c r="H329" s="351" t="s">
        <v>2034</v>
      </c>
      <c r="I329" s="351" t="s">
        <v>2035</v>
      </c>
      <c r="J329" s="351" t="s">
        <v>4028</v>
      </c>
      <c r="K329" s="354">
        <v>4615</v>
      </c>
      <c r="L329" s="355">
        <v>5289</v>
      </c>
      <c r="M329" s="354">
        <v>4142</v>
      </c>
      <c r="N329" s="355">
        <v>3162</v>
      </c>
      <c r="O329" s="355">
        <v>3164</v>
      </c>
      <c r="P329" s="355">
        <v>3324</v>
      </c>
      <c r="Q329" s="355">
        <v>3579</v>
      </c>
      <c r="R329" s="355">
        <v>3510</v>
      </c>
      <c r="S329" s="355">
        <v>3734</v>
      </c>
      <c r="T329" s="355">
        <v>3237</v>
      </c>
      <c r="U329" s="59">
        <f t="shared" si="34"/>
        <v>3162</v>
      </c>
      <c r="V329" s="59">
        <f t="shared" si="35"/>
        <v>5289</v>
      </c>
      <c r="W329" s="59">
        <f t="shared" si="36"/>
        <v>3775.6</v>
      </c>
      <c r="X329" s="60">
        <f t="shared" si="37"/>
        <v>70.14084507042253</v>
      </c>
      <c r="AC329" s="53"/>
      <c r="AL329" s="65">
        <f>_xlfn.IFERROR(INDEX('Tabela PW'!$T:$T,'Słownik PW'!C329,1),"")</f>
        <v>3237</v>
      </c>
    </row>
    <row r="330" spans="1:38" ht="15">
      <c r="A330" s="4" t="s">
        <v>232</v>
      </c>
      <c r="B330" s="5" t="s">
        <v>680</v>
      </c>
      <c r="C330" s="49" t="s">
        <v>341</v>
      </c>
      <c r="D330" s="349">
        <f t="shared" si="33"/>
        <v>59</v>
      </c>
      <c r="E330" s="350" t="s">
        <v>1035</v>
      </c>
      <c r="F330" s="51" t="s">
        <v>25</v>
      </c>
      <c r="G330" s="351" t="s">
        <v>683</v>
      </c>
      <c r="H330" s="351" t="s">
        <v>2036</v>
      </c>
      <c r="I330" s="351" t="s">
        <v>2037</v>
      </c>
      <c r="J330" s="351" t="s">
        <v>4029</v>
      </c>
      <c r="K330" s="354">
        <v>133685</v>
      </c>
      <c r="L330" s="355">
        <v>105176</v>
      </c>
      <c r="M330" s="354">
        <v>113463</v>
      </c>
      <c r="N330" s="355">
        <v>108196</v>
      </c>
      <c r="O330" s="355">
        <v>104819</v>
      </c>
      <c r="P330" s="355">
        <v>90861</v>
      </c>
      <c r="Q330" s="355">
        <v>91752</v>
      </c>
      <c r="R330" s="355">
        <v>102341</v>
      </c>
      <c r="S330" s="355">
        <v>108456</v>
      </c>
      <c r="T330" s="355">
        <v>111994</v>
      </c>
      <c r="U330" s="59">
        <f t="shared" si="34"/>
        <v>90861</v>
      </c>
      <c r="V330" s="59">
        <f t="shared" si="35"/>
        <v>133685</v>
      </c>
      <c r="W330" s="59">
        <f t="shared" si="36"/>
        <v>107074.3</v>
      </c>
      <c r="X330" s="60">
        <f t="shared" si="37"/>
        <v>83.77454463851592</v>
      </c>
      <c r="AC330" s="53"/>
      <c r="AL330" s="65">
        <f>_xlfn.IFERROR(INDEX('Tabela PW'!$T:$T,'Słownik PW'!C330,1),"")</f>
        <v>111994</v>
      </c>
    </row>
    <row r="331" spans="1:38" ht="15">
      <c r="A331" s="4" t="s">
        <v>232</v>
      </c>
      <c r="B331" s="5" t="s">
        <v>680</v>
      </c>
      <c r="C331" s="49" t="s">
        <v>342</v>
      </c>
      <c r="D331" s="349">
        <f t="shared" si="33"/>
        <v>14</v>
      </c>
      <c r="E331" s="350" t="s">
        <v>1036</v>
      </c>
      <c r="F331" s="51" t="s">
        <v>139</v>
      </c>
      <c r="G331" s="351" t="s">
        <v>674</v>
      </c>
      <c r="H331" s="351" t="s">
        <v>2038</v>
      </c>
      <c r="I331" s="351" t="s">
        <v>2039</v>
      </c>
      <c r="J331" s="351" t="s">
        <v>4030</v>
      </c>
      <c r="K331" s="354">
        <v>2235309</v>
      </c>
      <c r="L331" s="355">
        <v>1639917</v>
      </c>
      <c r="M331" s="354">
        <v>2018778</v>
      </c>
      <c r="N331" s="355">
        <v>1082663</v>
      </c>
      <c r="O331" s="355">
        <v>2144676</v>
      </c>
      <c r="P331" s="355">
        <v>1615391</v>
      </c>
      <c r="Q331" s="355">
        <v>2038366</v>
      </c>
      <c r="R331" s="355">
        <v>2264053</v>
      </c>
      <c r="S331" s="355">
        <v>1526949</v>
      </c>
      <c r="T331" s="355">
        <v>2423780</v>
      </c>
      <c r="U331" s="59">
        <f t="shared" si="34"/>
        <v>1082663</v>
      </c>
      <c r="V331" s="59">
        <f t="shared" si="35"/>
        <v>2423780</v>
      </c>
      <c r="W331" s="59">
        <f t="shared" si="36"/>
        <v>1898988.2</v>
      </c>
      <c r="X331" s="60">
        <f t="shared" si="37"/>
        <v>108.43154123210705</v>
      </c>
      <c r="AC331" s="53"/>
      <c r="AL331" s="65">
        <f>_xlfn.IFERROR(INDEX('Tabela PW'!$T:$T,'Słownik PW'!C331,1),"")</f>
        <v>2423780</v>
      </c>
    </row>
    <row r="332" spans="1:38" ht="15">
      <c r="A332" s="4" t="s">
        <v>232</v>
      </c>
      <c r="B332" s="5" t="s">
        <v>680</v>
      </c>
      <c r="C332" s="49" t="s">
        <v>343</v>
      </c>
      <c r="D332" s="349">
        <f t="shared" si="33"/>
        <v>16</v>
      </c>
      <c r="E332" s="350" t="s">
        <v>1037</v>
      </c>
      <c r="F332" s="51" t="s">
        <v>25</v>
      </c>
      <c r="G332" s="351" t="s">
        <v>683</v>
      </c>
      <c r="H332" s="351" t="s">
        <v>2040</v>
      </c>
      <c r="I332" s="351" t="s">
        <v>2041</v>
      </c>
      <c r="J332" s="351" t="s">
        <v>4031</v>
      </c>
      <c r="K332" s="354">
        <v>48369</v>
      </c>
      <c r="L332" s="355">
        <v>50805</v>
      </c>
      <c r="M332" s="354">
        <v>48106</v>
      </c>
      <c r="N332" s="355">
        <v>47272</v>
      </c>
      <c r="O332" s="355">
        <v>46090</v>
      </c>
      <c r="P332" s="355">
        <v>44198</v>
      </c>
      <c r="Q332" s="355">
        <v>47864</v>
      </c>
      <c r="R332" s="355">
        <v>49913</v>
      </c>
      <c r="S332" s="355">
        <v>47876</v>
      </c>
      <c r="T332" s="355">
        <v>43622</v>
      </c>
      <c r="U332" s="59">
        <f t="shared" si="34"/>
        <v>43622</v>
      </c>
      <c r="V332" s="59">
        <f t="shared" si="35"/>
        <v>50805</v>
      </c>
      <c r="W332" s="59">
        <f t="shared" si="36"/>
        <v>47411.5</v>
      </c>
      <c r="X332" s="60">
        <f t="shared" si="37"/>
        <v>90.18586284603775</v>
      </c>
      <c r="AC332" s="53"/>
      <c r="AL332" s="65">
        <f>_xlfn.IFERROR(INDEX('Tabela PW'!$T:$T,'Słownik PW'!C332,1),"")</f>
        <v>43622</v>
      </c>
    </row>
    <row r="333" spans="1:38" ht="15">
      <c r="A333" s="4" t="s">
        <v>232</v>
      </c>
      <c r="B333" s="5" t="s">
        <v>680</v>
      </c>
      <c r="C333" s="49" t="s">
        <v>344</v>
      </c>
      <c r="D333" s="349">
        <f t="shared" si="33"/>
        <v>18</v>
      </c>
      <c r="E333" s="350" t="s">
        <v>1038</v>
      </c>
      <c r="F333" s="51" t="s">
        <v>25</v>
      </c>
      <c r="G333" s="351" t="s">
        <v>683</v>
      </c>
      <c r="H333" s="351" t="s">
        <v>2042</v>
      </c>
      <c r="I333" s="351" t="s">
        <v>2043</v>
      </c>
      <c r="J333" s="351" t="s">
        <v>4032</v>
      </c>
      <c r="K333" s="354">
        <v>48369</v>
      </c>
      <c r="L333" s="355">
        <v>50805</v>
      </c>
      <c r="M333" s="354">
        <v>48106</v>
      </c>
      <c r="N333" s="355">
        <v>47272</v>
      </c>
      <c r="O333" s="355">
        <v>46090</v>
      </c>
      <c r="P333" s="355">
        <v>44198</v>
      </c>
      <c r="Q333" s="355">
        <v>46951</v>
      </c>
      <c r="R333" s="355">
        <v>48998</v>
      </c>
      <c r="S333" s="355">
        <v>46896</v>
      </c>
      <c r="T333" s="355">
        <v>42623</v>
      </c>
      <c r="U333" s="59">
        <f t="shared" si="34"/>
        <v>42623</v>
      </c>
      <c r="V333" s="59">
        <f t="shared" si="35"/>
        <v>50805</v>
      </c>
      <c r="W333" s="59">
        <f t="shared" si="36"/>
        <v>47030.8</v>
      </c>
      <c r="X333" s="60">
        <f t="shared" si="37"/>
        <v>88.12049039674172</v>
      </c>
      <c r="AC333" s="53"/>
      <c r="AL333" s="65">
        <f>_xlfn.IFERROR(INDEX('Tabela PW'!$T:$T,'Słownik PW'!C333,1),"")</f>
        <v>42623</v>
      </c>
    </row>
    <row r="334" spans="1:38" ht="15">
      <c r="A334" s="4" t="s">
        <v>232</v>
      </c>
      <c r="B334" s="5" t="s">
        <v>680</v>
      </c>
      <c r="C334" s="49" t="s">
        <v>345</v>
      </c>
      <c r="D334" s="349">
        <f t="shared" si="33"/>
        <v>73</v>
      </c>
      <c r="E334" s="350" t="s">
        <v>1039</v>
      </c>
      <c r="F334" s="51" t="s">
        <v>25</v>
      </c>
      <c r="G334" s="351" t="s">
        <v>683</v>
      </c>
      <c r="H334" s="351" t="s">
        <v>2044</v>
      </c>
      <c r="I334" s="351" t="s">
        <v>2045</v>
      </c>
      <c r="J334" s="351" t="s">
        <v>4033</v>
      </c>
      <c r="K334" s="354">
        <v>23737</v>
      </c>
      <c r="L334" s="355">
        <v>24925</v>
      </c>
      <c r="M334" s="354">
        <v>25393</v>
      </c>
      <c r="N334" s="355">
        <v>26158</v>
      </c>
      <c r="O334" s="355">
        <v>26190</v>
      </c>
      <c r="P334" s="355">
        <v>24468</v>
      </c>
      <c r="Q334" s="355">
        <v>25361</v>
      </c>
      <c r="R334" s="355">
        <v>25480</v>
      </c>
      <c r="S334" s="355">
        <v>23290</v>
      </c>
      <c r="T334" s="355">
        <v>21894</v>
      </c>
      <c r="U334" s="59">
        <f t="shared" si="34"/>
        <v>21894</v>
      </c>
      <c r="V334" s="59">
        <f t="shared" si="35"/>
        <v>26190</v>
      </c>
      <c r="W334" s="59">
        <f t="shared" si="36"/>
        <v>24689.6</v>
      </c>
      <c r="X334" s="60">
        <f t="shared" si="37"/>
        <v>92.23575009478873</v>
      </c>
      <c r="AC334" s="53"/>
      <c r="AL334" s="65">
        <f>_xlfn.IFERROR(INDEX('Tabela PW'!$T:$T,'Słownik PW'!C334,1),"")</f>
        <v>21894</v>
      </c>
    </row>
    <row r="335" spans="1:38" ht="15">
      <c r="A335" s="4" t="s">
        <v>346</v>
      </c>
      <c r="B335" s="5" t="s">
        <v>667</v>
      </c>
      <c r="C335" s="49" t="s">
        <v>347</v>
      </c>
      <c r="D335" s="349">
        <f t="shared" si="33"/>
        <v>11</v>
      </c>
      <c r="E335" s="350" t="s">
        <v>1040</v>
      </c>
      <c r="F335" s="51" t="s">
        <v>139</v>
      </c>
      <c r="G335" s="351" t="s">
        <v>674</v>
      </c>
      <c r="H335" s="351" t="s">
        <v>2046</v>
      </c>
      <c r="I335" s="351" t="s">
        <v>2047</v>
      </c>
      <c r="J335" s="351" t="s">
        <v>4034</v>
      </c>
      <c r="K335" s="354">
        <v>129863</v>
      </c>
      <c r="L335" s="355">
        <v>172823</v>
      </c>
      <c r="M335" s="354">
        <v>194967</v>
      </c>
      <c r="N335" s="355">
        <v>220163</v>
      </c>
      <c r="O335" s="355">
        <v>152389</v>
      </c>
      <c r="P335" s="355">
        <v>112753</v>
      </c>
      <c r="Q335" s="355">
        <v>218663</v>
      </c>
      <c r="R335" s="355">
        <v>112098</v>
      </c>
      <c r="S335" s="355">
        <v>111602</v>
      </c>
      <c r="T335" s="355">
        <v>71888</v>
      </c>
      <c r="U335" s="59">
        <f t="shared" si="34"/>
        <v>71888</v>
      </c>
      <c r="V335" s="59">
        <f t="shared" si="35"/>
        <v>220163</v>
      </c>
      <c r="W335" s="59">
        <f t="shared" si="36"/>
        <v>149720.9</v>
      </c>
      <c r="X335" s="60">
        <f t="shared" si="37"/>
        <v>55.356799088269945</v>
      </c>
      <c r="AC335" s="53"/>
      <c r="AL335" s="65">
        <f>_xlfn.IFERROR(INDEX('Tabela PW'!$T:$T,'Słownik PW'!C335,1),"")</f>
        <v>71888</v>
      </c>
    </row>
    <row r="336" spans="1:38" ht="15">
      <c r="A336" s="4" t="s">
        <v>346</v>
      </c>
      <c r="B336" s="5" t="s">
        <v>667</v>
      </c>
      <c r="C336" s="49" t="s">
        <v>348</v>
      </c>
      <c r="D336" s="349">
        <f t="shared" si="33"/>
        <v>36</v>
      </c>
      <c r="E336" s="350" t="s">
        <v>1041</v>
      </c>
      <c r="F336" s="51" t="s">
        <v>25</v>
      </c>
      <c r="G336" s="351" t="s">
        <v>683</v>
      </c>
      <c r="H336" s="351" t="s">
        <v>2048</v>
      </c>
      <c r="I336" s="351" t="s">
        <v>2049</v>
      </c>
      <c r="J336" s="351" t="s">
        <v>4035</v>
      </c>
      <c r="K336" s="354">
        <v>158</v>
      </c>
      <c r="L336" s="355">
        <v>172</v>
      </c>
      <c r="M336" s="354">
        <v>211</v>
      </c>
      <c r="N336" s="355">
        <v>2284</v>
      </c>
      <c r="O336" s="355">
        <v>3957</v>
      </c>
      <c r="P336" s="355">
        <v>4087</v>
      </c>
      <c r="Q336" s="355">
        <v>4673</v>
      </c>
      <c r="R336" s="355">
        <v>6109</v>
      </c>
      <c r="S336" s="355">
        <v>7551</v>
      </c>
      <c r="T336" s="355">
        <v>8447</v>
      </c>
      <c r="U336" s="59">
        <f t="shared" si="34"/>
        <v>158</v>
      </c>
      <c r="V336" s="59">
        <f t="shared" si="35"/>
        <v>8447</v>
      </c>
      <c r="W336" s="59">
        <f t="shared" si="36"/>
        <v>3764.9</v>
      </c>
      <c r="X336" s="60">
        <f t="shared" si="37"/>
        <v>5346.202531645569</v>
      </c>
      <c r="AC336" s="53"/>
      <c r="AL336" s="65">
        <f>_xlfn.IFERROR(INDEX('Tabela PW'!$T:$T,'Słownik PW'!C336,1),"")</f>
        <v>8447</v>
      </c>
    </row>
    <row r="337" spans="1:38" ht="15">
      <c r="A337" s="4" t="s">
        <v>346</v>
      </c>
      <c r="B337" s="5" t="s">
        <v>667</v>
      </c>
      <c r="C337" s="49" t="s">
        <v>349</v>
      </c>
      <c r="D337" s="349">
        <f t="shared" si="33"/>
        <v>31</v>
      </c>
      <c r="E337" s="350" t="s">
        <v>1042</v>
      </c>
      <c r="F337" s="51" t="s">
        <v>139</v>
      </c>
      <c r="G337" s="351" t="s">
        <v>674</v>
      </c>
      <c r="H337" s="351" t="s">
        <v>2050</v>
      </c>
      <c r="I337" s="351" t="s">
        <v>2051</v>
      </c>
      <c r="J337" s="351" t="s">
        <v>4036</v>
      </c>
      <c r="K337" s="354">
        <v>1112701</v>
      </c>
      <c r="L337" s="355">
        <v>1050322</v>
      </c>
      <c r="M337" s="354">
        <v>1243236</v>
      </c>
      <c r="N337" s="355">
        <v>1079190</v>
      </c>
      <c r="O337" s="355">
        <v>1334360</v>
      </c>
      <c r="P337" s="355">
        <v>1222999</v>
      </c>
      <c r="Q337" s="355">
        <v>2483129</v>
      </c>
      <c r="R337" s="355">
        <v>2389549</v>
      </c>
      <c r="S337" s="355">
        <v>2186128</v>
      </c>
      <c r="T337" s="355">
        <v>2340751</v>
      </c>
      <c r="U337" s="59">
        <f t="shared" si="34"/>
        <v>1050322</v>
      </c>
      <c r="V337" s="59">
        <f t="shared" si="35"/>
        <v>2483129</v>
      </c>
      <c r="W337" s="59">
        <f t="shared" si="36"/>
        <v>1644236.5</v>
      </c>
      <c r="X337" s="60">
        <f t="shared" si="37"/>
        <v>210.3665764657352</v>
      </c>
      <c r="AC337" s="53"/>
      <c r="AL337" s="65">
        <f>_xlfn.IFERROR(INDEX('Tabela PW'!$T:$T,'Słownik PW'!C337,1),"")</f>
        <v>2340751</v>
      </c>
    </row>
    <row r="338" spans="1:38" ht="15">
      <c r="A338" s="4" t="s">
        <v>350</v>
      </c>
      <c r="B338" s="5" t="s">
        <v>681</v>
      </c>
      <c r="C338" s="49" t="s">
        <v>351</v>
      </c>
      <c r="D338" s="349">
        <f t="shared" si="33"/>
        <v>13</v>
      </c>
      <c r="E338" s="350" t="s">
        <v>1043</v>
      </c>
      <c r="F338" s="51" t="s">
        <v>25</v>
      </c>
      <c r="G338" s="351" t="s">
        <v>683</v>
      </c>
      <c r="H338" s="351" t="s">
        <v>2052</v>
      </c>
      <c r="I338" s="351" t="s">
        <v>2053</v>
      </c>
      <c r="J338" s="351" t="s">
        <v>4037</v>
      </c>
      <c r="K338" s="354">
        <v>804375</v>
      </c>
      <c r="L338" s="355">
        <v>904889</v>
      </c>
      <c r="M338" s="354">
        <v>864113</v>
      </c>
      <c r="N338" s="355">
        <v>915888</v>
      </c>
      <c r="O338" s="355">
        <v>975473</v>
      </c>
      <c r="P338" s="355">
        <v>1030971</v>
      </c>
      <c r="Q338" s="355">
        <v>1162909</v>
      </c>
      <c r="R338" s="355">
        <v>1135965</v>
      </c>
      <c r="S338" s="355">
        <v>1128882</v>
      </c>
      <c r="T338" s="355">
        <v>1121398</v>
      </c>
      <c r="U338" s="59">
        <f t="shared" si="34"/>
        <v>804375</v>
      </c>
      <c r="V338" s="59">
        <f t="shared" si="35"/>
        <v>1162909</v>
      </c>
      <c r="W338" s="59">
        <f t="shared" si="36"/>
        <v>1004486.3</v>
      </c>
      <c r="X338" s="60">
        <f t="shared" si="37"/>
        <v>139.41233877233876</v>
      </c>
      <c r="AC338" s="53"/>
      <c r="AL338" s="65">
        <f>_xlfn.IFERROR(INDEX('Tabela PW'!$T:$T,'Słownik PW'!C338,1),"")</f>
        <v>1121398</v>
      </c>
    </row>
    <row r="339" spans="1:38" ht="15">
      <c r="A339" s="4" t="s">
        <v>350</v>
      </c>
      <c r="B339" s="5" t="s">
        <v>681</v>
      </c>
      <c r="C339" s="49" t="s">
        <v>352</v>
      </c>
      <c r="D339" s="349">
        <f t="shared" si="33"/>
        <v>20</v>
      </c>
      <c r="E339" s="350" t="s">
        <v>1044</v>
      </c>
      <c r="F339" s="51" t="s">
        <v>156</v>
      </c>
      <c r="G339" s="351" t="s">
        <v>705</v>
      </c>
      <c r="H339" s="351" t="s">
        <v>2054</v>
      </c>
      <c r="I339" s="351" t="s">
        <v>2055</v>
      </c>
      <c r="J339" s="351" t="s">
        <v>4038</v>
      </c>
      <c r="K339" s="354">
        <v>46956</v>
      </c>
      <c r="L339" s="355">
        <v>49644</v>
      </c>
      <c r="M339" s="354">
        <v>45958</v>
      </c>
      <c r="N339" s="355">
        <v>51896</v>
      </c>
      <c r="O339" s="355">
        <v>50419</v>
      </c>
      <c r="P339" s="355">
        <v>53525</v>
      </c>
      <c r="Q339" s="355">
        <v>54588</v>
      </c>
      <c r="R339" s="355">
        <v>54125</v>
      </c>
      <c r="S339" s="355">
        <v>56236</v>
      </c>
      <c r="T339" s="355">
        <v>63615</v>
      </c>
      <c r="U339" s="59">
        <f t="shared" si="34"/>
        <v>45958</v>
      </c>
      <c r="V339" s="59">
        <f t="shared" si="35"/>
        <v>63615</v>
      </c>
      <c r="W339" s="59">
        <f t="shared" si="36"/>
        <v>52696.2</v>
      </c>
      <c r="X339" s="60">
        <f t="shared" si="37"/>
        <v>135.47789419882443</v>
      </c>
      <c r="AC339" s="53"/>
      <c r="AL339" s="65">
        <f>_xlfn.IFERROR(INDEX('Tabela PW'!$T:$T,'Słownik PW'!C339,1),"")</f>
        <v>63615</v>
      </c>
    </row>
    <row r="340" spans="1:38" ht="15">
      <c r="A340" s="4" t="s">
        <v>350</v>
      </c>
      <c r="B340" s="5" t="s">
        <v>681</v>
      </c>
      <c r="C340" s="49" t="s">
        <v>353</v>
      </c>
      <c r="D340" s="349">
        <f t="shared" si="33"/>
        <v>32</v>
      </c>
      <c r="E340" s="350" t="s">
        <v>1045</v>
      </c>
      <c r="F340" s="51" t="s">
        <v>156</v>
      </c>
      <c r="G340" s="351" t="s">
        <v>705</v>
      </c>
      <c r="H340" s="351" t="s">
        <v>2056</v>
      </c>
      <c r="I340" s="351" t="s">
        <v>2057</v>
      </c>
      <c r="J340" s="351" t="s">
        <v>4039</v>
      </c>
      <c r="K340" s="354">
        <v>40840</v>
      </c>
      <c r="L340" s="355">
        <v>42818</v>
      </c>
      <c r="M340" s="354">
        <v>39713</v>
      </c>
      <c r="N340" s="355">
        <v>44478</v>
      </c>
      <c r="O340" s="355">
        <v>42903</v>
      </c>
      <c r="P340" s="355">
        <v>46715</v>
      </c>
      <c r="Q340" s="355">
        <v>47284</v>
      </c>
      <c r="R340" s="355">
        <v>46271</v>
      </c>
      <c r="S340" s="355">
        <v>49235</v>
      </c>
      <c r="T340" s="355">
        <v>50025</v>
      </c>
      <c r="U340" s="59">
        <f t="shared" si="34"/>
        <v>39713</v>
      </c>
      <c r="V340" s="59">
        <f t="shared" si="35"/>
        <v>50025</v>
      </c>
      <c r="W340" s="59">
        <f t="shared" si="36"/>
        <v>45028.2</v>
      </c>
      <c r="X340" s="60">
        <f t="shared" si="37"/>
        <v>122.49020568070519</v>
      </c>
      <c r="AC340" s="53"/>
      <c r="AL340" s="65">
        <f>_xlfn.IFERROR(INDEX('Tabela PW'!$T:$T,'Słownik PW'!C340,1),"")</f>
        <v>50025</v>
      </c>
    </row>
    <row r="341" spans="1:38" ht="15">
      <c r="A341" s="4" t="s">
        <v>350</v>
      </c>
      <c r="B341" s="5" t="s">
        <v>681</v>
      </c>
      <c r="C341" s="49" t="s">
        <v>354</v>
      </c>
      <c r="D341" s="349">
        <f t="shared" si="33"/>
        <v>41</v>
      </c>
      <c r="E341" s="350" t="s">
        <v>1046</v>
      </c>
      <c r="F341" s="51" t="s">
        <v>25</v>
      </c>
      <c r="G341" s="351" t="s">
        <v>683</v>
      </c>
      <c r="H341" s="351" t="s">
        <v>2058</v>
      </c>
      <c r="I341" s="351" t="s">
        <v>2059</v>
      </c>
      <c r="J341" s="351" t="s">
        <v>4040</v>
      </c>
      <c r="K341" s="354">
        <v>241188</v>
      </c>
      <c r="L341" s="355">
        <v>246388</v>
      </c>
      <c r="M341" s="354">
        <v>219563</v>
      </c>
      <c r="N341" s="355">
        <v>235329</v>
      </c>
      <c r="O341" s="355">
        <v>253484</v>
      </c>
      <c r="P341" s="355">
        <v>266274</v>
      </c>
      <c r="Q341" s="355">
        <v>274903</v>
      </c>
      <c r="R341" s="355">
        <v>287313</v>
      </c>
      <c r="S341" s="355">
        <v>285743</v>
      </c>
      <c r="T341" s="355">
        <v>295040</v>
      </c>
      <c r="U341" s="59">
        <f t="shared" si="34"/>
        <v>219563</v>
      </c>
      <c r="V341" s="59">
        <f t="shared" si="35"/>
        <v>295040</v>
      </c>
      <c r="W341" s="59">
        <f t="shared" si="36"/>
        <v>260522.5</v>
      </c>
      <c r="X341" s="60">
        <f t="shared" si="37"/>
        <v>122.32781067051428</v>
      </c>
      <c r="AC341" s="53"/>
      <c r="AL341" s="65">
        <f>_xlfn.IFERROR(INDEX('Tabela PW'!$T:$T,'Słownik PW'!C341,1),"")</f>
        <v>295040</v>
      </c>
    </row>
    <row r="342" spans="1:38" ht="15">
      <c r="A342" s="4" t="s">
        <v>350</v>
      </c>
      <c r="B342" s="5" t="s">
        <v>681</v>
      </c>
      <c r="C342" s="49" t="s">
        <v>354</v>
      </c>
      <c r="D342" s="349">
        <f t="shared" si="33"/>
        <v>41</v>
      </c>
      <c r="E342" s="350" t="s">
        <v>1047</v>
      </c>
      <c r="F342" s="51" t="s">
        <v>156</v>
      </c>
      <c r="G342" s="351" t="s">
        <v>705</v>
      </c>
      <c r="H342" s="351" t="s">
        <v>2060</v>
      </c>
      <c r="I342" s="351" t="s">
        <v>2061</v>
      </c>
      <c r="J342" s="351" t="s">
        <v>4041</v>
      </c>
      <c r="K342" s="354">
        <v>29436</v>
      </c>
      <c r="L342" s="355">
        <v>29783</v>
      </c>
      <c r="M342" s="354">
        <v>26110</v>
      </c>
      <c r="N342" s="355">
        <v>28169</v>
      </c>
      <c r="O342" s="355">
        <v>29812</v>
      </c>
      <c r="P342" s="355">
        <v>30990</v>
      </c>
      <c r="Q342" s="355">
        <v>31549</v>
      </c>
      <c r="R342" s="355">
        <v>32957</v>
      </c>
      <c r="S342" s="355">
        <v>32066</v>
      </c>
      <c r="T342" s="355">
        <v>32323</v>
      </c>
      <c r="U342" s="59">
        <f t="shared" si="34"/>
        <v>26110</v>
      </c>
      <c r="V342" s="59">
        <f t="shared" si="35"/>
        <v>32957</v>
      </c>
      <c r="W342" s="59">
        <f t="shared" si="36"/>
        <v>30319.5</v>
      </c>
      <c r="X342" s="60">
        <f t="shared" si="37"/>
        <v>109.80771844000543</v>
      </c>
      <c r="AC342" s="53"/>
      <c r="AL342" s="65">
        <f>_xlfn.IFERROR(INDEX('Tabela PW'!$T:$T,'Słownik PW'!C342,1),"")</f>
        <v>32323</v>
      </c>
    </row>
    <row r="343" spans="1:38" ht="15">
      <c r="A343" s="4" t="s">
        <v>350</v>
      </c>
      <c r="B343" s="5" t="s">
        <v>681</v>
      </c>
      <c r="C343" s="49" t="s">
        <v>355</v>
      </c>
      <c r="D343" s="349">
        <f t="shared" si="33"/>
        <v>14</v>
      </c>
      <c r="E343" s="350" t="s">
        <v>1048</v>
      </c>
      <c r="F343" s="51" t="s">
        <v>156</v>
      </c>
      <c r="G343" s="351" t="s">
        <v>705</v>
      </c>
      <c r="H343" s="351" t="s">
        <v>2062</v>
      </c>
      <c r="I343" s="351" t="s">
        <v>2063</v>
      </c>
      <c r="J343" s="351" t="s">
        <v>4042</v>
      </c>
      <c r="K343" s="354">
        <v>32253</v>
      </c>
      <c r="L343" s="355">
        <v>33283</v>
      </c>
      <c r="M343" s="354">
        <v>29690</v>
      </c>
      <c r="N343" s="355">
        <v>31726</v>
      </c>
      <c r="O343" s="355">
        <v>33255</v>
      </c>
      <c r="P343" s="355">
        <v>34408</v>
      </c>
      <c r="Q343" s="355">
        <v>35379</v>
      </c>
      <c r="R343" s="355">
        <v>36962</v>
      </c>
      <c r="S343" s="355">
        <v>36203</v>
      </c>
      <c r="T343" s="355">
        <v>36115</v>
      </c>
      <c r="U343" s="59">
        <f t="shared" si="34"/>
        <v>29690</v>
      </c>
      <c r="V343" s="59">
        <f t="shared" si="35"/>
        <v>36962</v>
      </c>
      <c r="W343" s="59">
        <f t="shared" si="36"/>
        <v>33927.4</v>
      </c>
      <c r="X343" s="60">
        <f t="shared" si="37"/>
        <v>111.97407993054908</v>
      </c>
      <c r="AC343" s="53"/>
      <c r="AL343" s="65">
        <f>_xlfn.IFERROR(INDEX('Tabela PW'!$T:$T,'Słownik PW'!C343,1),"")</f>
        <v>36115</v>
      </c>
    </row>
    <row r="344" spans="1:38" ht="15">
      <c r="A344" s="4" t="s">
        <v>350</v>
      </c>
      <c r="B344" s="5" t="s">
        <v>681</v>
      </c>
      <c r="C344" s="49" t="s">
        <v>356</v>
      </c>
      <c r="D344" s="349">
        <f t="shared" si="33"/>
        <v>55</v>
      </c>
      <c r="E344" s="350" t="s">
        <v>1049</v>
      </c>
      <c r="F344" s="51" t="s">
        <v>25</v>
      </c>
      <c r="G344" s="351" t="s">
        <v>683</v>
      </c>
      <c r="H344" s="351" t="s">
        <v>2064</v>
      </c>
      <c r="I344" s="351" t="s">
        <v>2065</v>
      </c>
      <c r="J344" s="351" t="s">
        <v>4043</v>
      </c>
      <c r="K344" s="354">
        <v>130788</v>
      </c>
      <c r="L344" s="355">
        <v>163591</v>
      </c>
      <c r="M344" s="354">
        <v>164028</v>
      </c>
      <c r="N344" s="355">
        <v>175937</v>
      </c>
      <c r="O344" s="355">
        <v>180864</v>
      </c>
      <c r="P344" s="355">
        <v>199236</v>
      </c>
      <c r="Q344" s="355">
        <v>200053</v>
      </c>
      <c r="R344" s="355">
        <v>209639</v>
      </c>
      <c r="S344" s="355">
        <v>214085</v>
      </c>
      <c r="T344" s="355">
        <v>213004</v>
      </c>
      <c r="U344" s="59">
        <f t="shared" si="34"/>
        <v>130788</v>
      </c>
      <c r="V344" s="59">
        <f t="shared" si="35"/>
        <v>214085</v>
      </c>
      <c r="W344" s="59">
        <f t="shared" si="36"/>
        <v>185122.5</v>
      </c>
      <c r="X344" s="60">
        <f t="shared" si="37"/>
        <v>162.8620362724409</v>
      </c>
      <c r="AC344" s="53"/>
      <c r="AL344" s="65">
        <f>_xlfn.IFERROR(INDEX('Tabela PW'!$T:$T,'Słownik PW'!C344,1),"")</f>
        <v>213004</v>
      </c>
    </row>
    <row r="345" spans="1:38" ht="15">
      <c r="A345" s="4" t="s">
        <v>350</v>
      </c>
      <c r="B345" s="5" t="s">
        <v>681</v>
      </c>
      <c r="C345" s="49" t="s">
        <v>356</v>
      </c>
      <c r="D345" s="349">
        <f t="shared" si="33"/>
        <v>55</v>
      </c>
      <c r="E345" s="350" t="s">
        <v>1050</v>
      </c>
      <c r="F345" s="51" t="s">
        <v>156</v>
      </c>
      <c r="G345" s="351" t="s">
        <v>705</v>
      </c>
      <c r="H345" s="351" t="s">
        <v>2066</v>
      </c>
      <c r="I345" s="351" t="s">
        <v>2067</v>
      </c>
      <c r="J345" s="351" t="s">
        <v>4044</v>
      </c>
      <c r="K345" s="354">
        <v>3455</v>
      </c>
      <c r="L345" s="355">
        <v>4595</v>
      </c>
      <c r="M345" s="354">
        <v>4619</v>
      </c>
      <c r="N345" s="355">
        <v>4539</v>
      </c>
      <c r="O345" s="355">
        <v>4410</v>
      </c>
      <c r="P345" s="355">
        <v>4379</v>
      </c>
      <c r="Q345" s="355">
        <v>4086</v>
      </c>
      <c r="R345" s="355">
        <v>4281</v>
      </c>
      <c r="S345" s="355">
        <v>4417</v>
      </c>
      <c r="T345" s="355">
        <v>4029</v>
      </c>
      <c r="U345" s="59">
        <f t="shared" si="34"/>
        <v>3455</v>
      </c>
      <c r="V345" s="59">
        <f t="shared" si="35"/>
        <v>4619</v>
      </c>
      <c r="W345" s="59">
        <f t="shared" si="36"/>
        <v>4281</v>
      </c>
      <c r="X345" s="60">
        <f t="shared" si="37"/>
        <v>116.6136034732272</v>
      </c>
      <c r="AC345" s="53"/>
      <c r="AL345" s="65">
        <f>_xlfn.IFERROR(INDEX('Tabela PW'!$T:$T,'Słownik PW'!C345,1),"")</f>
        <v>4029</v>
      </c>
    </row>
    <row r="346" spans="1:38" ht="15">
      <c r="A346" s="4" t="s">
        <v>350</v>
      </c>
      <c r="B346" s="5" t="s">
        <v>681</v>
      </c>
      <c r="C346" s="49" t="s">
        <v>357</v>
      </c>
      <c r="D346" s="349">
        <f t="shared" si="33"/>
        <v>67</v>
      </c>
      <c r="E346" s="350" t="s">
        <v>1051</v>
      </c>
      <c r="F346" s="51" t="s">
        <v>25</v>
      </c>
      <c r="G346" s="351" t="s">
        <v>683</v>
      </c>
      <c r="H346" s="351" t="s">
        <v>2068</v>
      </c>
      <c r="I346" s="351" t="s">
        <v>2069</v>
      </c>
      <c r="J346" s="351" t="s">
        <v>4045</v>
      </c>
      <c r="K346" s="354">
        <v>26088</v>
      </c>
      <c r="L346" s="355">
        <v>29566</v>
      </c>
      <c r="M346" s="354">
        <v>24244</v>
      </c>
      <c r="N346" s="355">
        <v>30449</v>
      </c>
      <c r="O346" s="355">
        <v>29210</v>
      </c>
      <c r="P346" s="355">
        <v>27694</v>
      </c>
      <c r="Q346" s="355">
        <v>30671</v>
      </c>
      <c r="R346" s="355">
        <v>35523</v>
      </c>
      <c r="S346" s="355">
        <v>31791</v>
      </c>
      <c r="T346" s="355">
        <v>27732</v>
      </c>
      <c r="U346" s="59">
        <f t="shared" si="34"/>
        <v>24244</v>
      </c>
      <c r="V346" s="59">
        <f t="shared" si="35"/>
        <v>35523</v>
      </c>
      <c r="W346" s="59">
        <f t="shared" si="36"/>
        <v>29296.8</v>
      </c>
      <c r="X346" s="60">
        <f t="shared" si="37"/>
        <v>106.3017479300828</v>
      </c>
      <c r="AC346" s="53"/>
      <c r="AL346" s="65">
        <f>_xlfn.IFERROR(INDEX('Tabela PW'!$T:$T,'Słownik PW'!C346,1),"")</f>
        <v>27732</v>
      </c>
    </row>
    <row r="347" spans="1:38" ht="15">
      <c r="A347" s="4" t="s">
        <v>350</v>
      </c>
      <c r="B347" s="5" t="s">
        <v>681</v>
      </c>
      <c r="C347" s="49" t="s">
        <v>357</v>
      </c>
      <c r="D347" s="349">
        <f t="shared" si="33"/>
        <v>67</v>
      </c>
      <c r="E347" s="350" t="s">
        <v>1052</v>
      </c>
      <c r="F347" s="51" t="s">
        <v>156</v>
      </c>
      <c r="G347" s="351" t="s">
        <v>705</v>
      </c>
      <c r="H347" s="351" t="s">
        <v>2070</v>
      </c>
      <c r="I347" s="351" t="s">
        <v>2071</v>
      </c>
      <c r="J347" s="351" t="s">
        <v>4046</v>
      </c>
      <c r="K347" s="354">
        <v>561</v>
      </c>
      <c r="L347" s="355">
        <v>595</v>
      </c>
      <c r="M347" s="354">
        <v>440</v>
      </c>
      <c r="N347" s="355">
        <v>483</v>
      </c>
      <c r="O347" s="355">
        <v>437</v>
      </c>
      <c r="P347" s="355">
        <v>309</v>
      </c>
      <c r="Q347" s="355">
        <v>648</v>
      </c>
      <c r="R347" s="355">
        <v>681</v>
      </c>
      <c r="S347" s="355">
        <v>595</v>
      </c>
      <c r="T347" s="355">
        <v>622</v>
      </c>
      <c r="U347" s="59">
        <f t="shared" si="34"/>
        <v>309</v>
      </c>
      <c r="V347" s="59">
        <f t="shared" si="35"/>
        <v>681</v>
      </c>
      <c r="W347" s="59">
        <f t="shared" si="36"/>
        <v>537.1</v>
      </c>
      <c r="X347" s="60">
        <f t="shared" si="37"/>
        <v>110.87344028520498</v>
      </c>
      <c r="AC347" s="53"/>
      <c r="AL347" s="65">
        <f>_xlfn.IFERROR(INDEX('Tabela PW'!$T:$T,'Słownik PW'!C347,1),"")</f>
        <v>622</v>
      </c>
    </row>
    <row r="348" spans="1:38" ht="15">
      <c r="A348" s="4" t="s">
        <v>350</v>
      </c>
      <c r="B348" s="5" t="s">
        <v>681</v>
      </c>
      <c r="C348" s="49" t="s">
        <v>358</v>
      </c>
      <c r="D348" s="349">
        <f t="shared" si="33"/>
        <v>25</v>
      </c>
      <c r="E348" s="350" t="s">
        <v>1053</v>
      </c>
      <c r="F348" s="51" t="s">
        <v>154</v>
      </c>
      <c r="G348" s="351" t="s">
        <v>682</v>
      </c>
      <c r="H348" s="351" t="s">
        <v>2072</v>
      </c>
      <c r="I348" s="351" t="s">
        <v>2073</v>
      </c>
      <c r="J348" s="351" t="s">
        <v>4047</v>
      </c>
      <c r="K348" s="354">
        <v>589009</v>
      </c>
      <c r="L348" s="355">
        <v>668892</v>
      </c>
      <c r="M348" s="354">
        <v>658979</v>
      </c>
      <c r="N348" s="355">
        <v>653852</v>
      </c>
      <c r="O348" s="355">
        <v>615270</v>
      </c>
      <c r="P348" s="355">
        <v>483948</v>
      </c>
      <c r="Q348" s="355">
        <v>629567</v>
      </c>
      <c r="R348" s="355">
        <v>649963</v>
      </c>
      <c r="S348" s="355">
        <v>718246</v>
      </c>
      <c r="T348" s="355">
        <v>641055</v>
      </c>
      <c r="U348" s="59">
        <f t="shared" si="34"/>
        <v>483948</v>
      </c>
      <c r="V348" s="59">
        <f t="shared" si="35"/>
        <v>718246</v>
      </c>
      <c r="W348" s="59">
        <f t="shared" si="36"/>
        <v>630878.1</v>
      </c>
      <c r="X348" s="60">
        <f t="shared" si="37"/>
        <v>108.8361977491006</v>
      </c>
      <c r="AC348" s="53"/>
      <c r="AL348" s="65">
        <f>_xlfn.IFERROR(INDEX('Tabela PW'!$T:$T,'Słownik PW'!C348,1),"")</f>
        <v>641055</v>
      </c>
    </row>
    <row r="349" spans="1:38" ht="15">
      <c r="A349" s="4" t="s">
        <v>350</v>
      </c>
      <c r="B349" s="5" t="s">
        <v>681</v>
      </c>
      <c r="C349" s="49" t="s">
        <v>358</v>
      </c>
      <c r="D349" s="349">
        <f t="shared" si="33"/>
        <v>25</v>
      </c>
      <c r="E349" s="350" t="s">
        <v>1054</v>
      </c>
      <c r="F349" s="51" t="s">
        <v>25</v>
      </c>
      <c r="G349" s="351" t="s">
        <v>683</v>
      </c>
      <c r="H349" s="351" t="s">
        <v>2074</v>
      </c>
      <c r="I349" s="351" t="s">
        <v>2075</v>
      </c>
      <c r="J349" s="351" t="s">
        <v>4048</v>
      </c>
      <c r="K349" s="354">
        <v>17023</v>
      </c>
      <c r="L349" s="355">
        <v>20686</v>
      </c>
      <c r="M349" s="354">
        <v>18118</v>
      </c>
      <c r="N349" s="355">
        <v>17132</v>
      </c>
      <c r="O349" s="355">
        <v>14907</v>
      </c>
      <c r="P349" s="355">
        <v>12938</v>
      </c>
      <c r="Q349" s="355">
        <v>13731</v>
      </c>
      <c r="R349" s="355">
        <v>12347</v>
      </c>
      <c r="S349" s="355">
        <v>14963</v>
      </c>
      <c r="T349" s="355">
        <v>14869</v>
      </c>
      <c r="U349" s="59">
        <f t="shared" si="34"/>
        <v>12347</v>
      </c>
      <c r="V349" s="59">
        <f t="shared" si="35"/>
        <v>20686</v>
      </c>
      <c r="W349" s="59">
        <f t="shared" si="36"/>
        <v>15671.4</v>
      </c>
      <c r="X349" s="60">
        <f t="shared" si="37"/>
        <v>87.34653116371967</v>
      </c>
      <c r="AC349" s="53"/>
      <c r="AL349" s="65">
        <f>_xlfn.IFERROR(INDEX('Tabela PW'!$T:$T,'Słownik PW'!C349,1),"")</f>
        <v>14869</v>
      </c>
    </row>
    <row r="350" spans="1:38" ht="15">
      <c r="A350" s="4" t="s">
        <v>350</v>
      </c>
      <c r="B350" s="5" t="s">
        <v>681</v>
      </c>
      <c r="C350" s="49" t="s">
        <v>359</v>
      </c>
      <c r="D350" s="349">
        <f t="shared" si="33"/>
        <v>45</v>
      </c>
      <c r="E350" s="350" t="s">
        <v>1055</v>
      </c>
      <c r="F350" s="51" t="s">
        <v>139</v>
      </c>
      <c r="G350" s="351" t="s">
        <v>674</v>
      </c>
      <c r="H350" s="351" t="s">
        <v>2076</v>
      </c>
      <c r="I350" s="351" t="s">
        <v>2077</v>
      </c>
      <c r="J350" s="351" t="s">
        <v>4049</v>
      </c>
      <c r="K350" s="354">
        <v>19692800</v>
      </c>
      <c r="L350" s="355">
        <v>21303894</v>
      </c>
      <c r="M350" s="354">
        <v>26771753</v>
      </c>
      <c r="N350" s="355">
        <v>44635014</v>
      </c>
      <c r="O350" s="355">
        <v>39796515</v>
      </c>
      <c r="P350" s="355">
        <v>42984264</v>
      </c>
      <c r="Q350" s="355">
        <v>45172614</v>
      </c>
      <c r="R350" s="355">
        <v>49341270</v>
      </c>
      <c r="S350" s="355">
        <v>50689486</v>
      </c>
      <c r="T350" s="355">
        <v>48110740</v>
      </c>
      <c r="U350" s="59">
        <f t="shared" si="34"/>
        <v>19692800</v>
      </c>
      <c r="V350" s="59">
        <f t="shared" si="35"/>
        <v>50689486</v>
      </c>
      <c r="W350" s="59">
        <f t="shared" si="36"/>
        <v>38849835</v>
      </c>
      <c r="X350" s="60">
        <f t="shared" si="37"/>
        <v>244.30624390640233</v>
      </c>
      <c r="AC350" s="53"/>
      <c r="AL350" s="65">
        <f>_xlfn.IFERROR(INDEX('Tabela PW'!$T:$T,'Słownik PW'!C350,1),"")</f>
        <v>48110740</v>
      </c>
    </row>
    <row r="351" spans="1:38" ht="15">
      <c r="A351" s="4" t="s">
        <v>350</v>
      </c>
      <c r="B351" s="5" t="s">
        <v>681</v>
      </c>
      <c r="C351" s="49" t="s">
        <v>360</v>
      </c>
      <c r="D351" s="349">
        <f t="shared" si="33"/>
        <v>69</v>
      </c>
      <c r="E351" s="350" t="s">
        <v>1056</v>
      </c>
      <c r="F351" s="51" t="s">
        <v>139</v>
      </c>
      <c r="G351" s="351" t="s">
        <v>674</v>
      </c>
      <c r="H351" s="351" t="s">
        <v>2078</v>
      </c>
      <c r="I351" s="351" t="s">
        <v>2079</v>
      </c>
      <c r="J351" s="351" t="s">
        <v>4050</v>
      </c>
      <c r="K351" s="354">
        <v>3168305</v>
      </c>
      <c r="L351" s="355">
        <v>2743257</v>
      </c>
      <c r="M351" s="354">
        <v>4234354</v>
      </c>
      <c r="N351" s="355">
        <v>7908790</v>
      </c>
      <c r="O351" s="355">
        <v>10320013</v>
      </c>
      <c r="P351" s="355">
        <v>10394318</v>
      </c>
      <c r="Q351" s="355">
        <v>10577688</v>
      </c>
      <c r="R351" s="355">
        <v>12090449</v>
      </c>
      <c r="S351" s="355">
        <v>12130425</v>
      </c>
      <c r="T351" s="355">
        <v>12979357</v>
      </c>
      <c r="U351" s="59">
        <f t="shared" si="34"/>
        <v>2743257</v>
      </c>
      <c r="V351" s="59">
        <f t="shared" si="35"/>
        <v>12979357</v>
      </c>
      <c r="W351" s="59">
        <f t="shared" si="36"/>
        <v>8654695.6</v>
      </c>
      <c r="X351" s="60">
        <f t="shared" si="37"/>
        <v>409.66248514584294</v>
      </c>
      <c r="AC351" s="53"/>
      <c r="AL351" s="65">
        <f>_xlfn.IFERROR(INDEX('Tabela PW'!$T:$T,'Słownik PW'!C351,1),"")</f>
        <v>12979357</v>
      </c>
    </row>
    <row r="352" spans="1:38" ht="15">
      <c r="A352" s="4" t="s">
        <v>350</v>
      </c>
      <c r="B352" s="5" t="s">
        <v>681</v>
      </c>
      <c r="C352" s="49" t="s">
        <v>360</v>
      </c>
      <c r="D352" s="349">
        <f t="shared" si="33"/>
        <v>69</v>
      </c>
      <c r="E352" s="350" t="s">
        <v>1057</v>
      </c>
      <c r="F352" s="51" t="s">
        <v>361</v>
      </c>
      <c r="G352" s="351" t="s">
        <v>676</v>
      </c>
      <c r="H352" s="351" t="s">
        <v>2080</v>
      </c>
      <c r="I352" s="351" t="s">
        <v>2081</v>
      </c>
      <c r="J352" s="351" t="s">
        <v>4051</v>
      </c>
      <c r="K352" s="354">
        <v>8029</v>
      </c>
      <c r="L352" s="355">
        <v>7509</v>
      </c>
      <c r="M352" s="354">
        <v>10588</v>
      </c>
      <c r="N352" s="355">
        <v>16684</v>
      </c>
      <c r="O352" s="355">
        <v>20376</v>
      </c>
      <c r="P352" s="355">
        <v>20507</v>
      </c>
      <c r="Q352" s="355">
        <v>20821</v>
      </c>
      <c r="R352" s="355">
        <v>21675</v>
      </c>
      <c r="S352" s="355">
        <v>21233</v>
      </c>
      <c r="T352" s="355">
        <v>24380</v>
      </c>
      <c r="U352" s="59">
        <f t="shared" si="34"/>
        <v>7509</v>
      </c>
      <c r="V352" s="59">
        <f t="shared" si="35"/>
        <v>24380</v>
      </c>
      <c r="W352" s="59">
        <f t="shared" si="36"/>
        <v>17180.2</v>
      </c>
      <c r="X352" s="60">
        <f t="shared" si="37"/>
        <v>303.64927139120687</v>
      </c>
      <c r="AC352" s="53"/>
      <c r="AL352" s="65">
        <f>_xlfn.IFERROR(INDEX('Tabela PW'!$T:$T,'Słownik PW'!C352,1),"")</f>
        <v>24380</v>
      </c>
    </row>
    <row r="353" spans="1:38" ht="15">
      <c r="A353" s="4" t="s">
        <v>350</v>
      </c>
      <c r="B353" s="5" t="s">
        <v>681</v>
      </c>
      <c r="C353" s="49" t="s">
        <v>362</v>
      </c>
      <c r="D353" s="349">
        <f t="shared" si="33"/>
        <v>36</v>
      </c>
      <c r="E353" s="350" t="s">
        <v>1058</v>
      </c>
      <c r="F353" s="51" t="s">
        <v>25</v>
      </c>
      <c r="G353" s="351" t="s">
        <v>683</v>
      </c>
      <c r="H353" s="351" t="s">
        <v>2082</v>
      </c>
      <c r="I353" s="351" t="s">
        <v>2083</v>
      </c>
      <c r="J353" s="351" t="s">
        <v>4052</v>
      </c>
      <c r="K353" s="354">
        <v>42641</v>
      </c>
      <c r="L353" s="355">
        <v>49126</v>
      </c>
      <c r="M353" s="354">
        <v>47678</v>
      </c>
      <c r="N353" s="355">
        <v>46131</v>
      </c>
      <c r="O353" s="355">
        <v>48828</v>
      </c>
      <c r="P353" s="355">
        <v>60337</v>
      </c>
      <c r="Q353" s="355">
        <v>63734</v>
      </c>
      <c r="R353" s="355">
        <v>61313</v>
      </c>
      <c r="S353" s="355">
        <v>57966</v>
      </c>
      <c r="T353" s="355">
        <v>49801</v>
      </c>
      <c r="U353" s="59">
        <f t="shared" si="34"/>
        <v>42641</v>
      </c>
      <c r="V353" s="59">
        <f t="shared" si="35"/>
        <v>63734</v>
      </c>
      <c r="W353" s="59">
        <f t="shared" si="36"/>
        <v>52755.5</v>
      </c>
      <c r="X353" s="60">
        <f t="shared" si="37"/>
        <v>116.79135104711429</v>
      </c>
      <c r="AC353" s="53"/>
      <c r="AL353" s="65">
        <f>_xlfn.IFERROR(INDEX('Tabela PW'!$T:$T,'Słownik PW'!C353,1),"")</f>
        <v>49801</v>
      </c>
    </row>
    <row r="354" spans="1:38" ht="15">
      <c r="A354" s="4" t="s">
        <v>350</v>
      </c>
      <c r="B354" s="5" t="s">
        <v>681</v>
      </c>
      <c r="C354" s="49" t="s">
        <v>363</v>
      </c>
      <c r="D354" s="349">
        <f t="shared" si="33"/>
        <v>57</v>
      </c>
      <c r="E354" s="350" t="s">
        <v>1059</v>
      </c>
      <c r="F354" s="51" t="s">
        <v>139</v>
      </c>
      <c r="G354" s="351" t="s">
        <v>674</v>
      </c>
      <c r="H354" s="351" t="s">
        <v>2084</v>
      </c>
      <c r="I354" s="351" t="s">
        <v>2085</v>
      </c>
      <c r="J354" s="351" t="s">
        <v>4053</v>
      </c>
      <c r="K354" s="354">
        <v>671994</v>
      </c>
      <c r="L354" s="355">
        <v>547998</v>
      </c>
      <c r="M354" s="354">
        <v>481978</v>
      </c>
      <c r="N354" s="355">
        <v>512581</v>
      </c>
      <c r="O354" s="355">
        <v>685877</v>
      </c>
      <c r="P354" s="355">
        <v>1040605</v>
      </c>
      <c r="Q354" s="355">
        <v>1350235</v>
      </c>
      <c r="R354" s="355">
        <v>1555783</v>
      </c>
      <c r="S354" s="355">
        <v>1558601</v>
      </c>
      <c r="T354" s="355">
        <v>2087253</v>
      </c>
      <c r="U354" s="59">
        <f t="shared" si="34"/>
        <v>481978</v>
      </c>
      <c r="V354" s="59">
        <f t="shared" si="35"/>
        <v>2087253</v>
      </c>
      <c r="W354" s="59">
        <f t="shared" si="36"/>
        <v>1049290.5</v>
      </c>
      <c r="X354" s="60">
        <f t="shared" si="37"/>
        <v>310.60589826694877</v>
      </c>
      <c r="AC354" s="53"/>
      <c r="AL354" s="65">
        <f>_xlfn.IFERROR(INDEX('Tabela PW'!$T:$T,'Słownik PW'!C354,1),"")</f>
        <v>2087253</v>
      </c>
    </row>
    <row r="355" spans="1:38" ht="15">
      <c r="A355" s="4" t="s">
        <v>350</v>
      </c>
      <c r="B355" s="5" t="s">
        <v>681</v>
      </c>
      <c r="C355" s="49" t="s">
        <v>364</v>
      </c>
      <c r="D355" s="349">
        <f t="shared" si="33"/>
        <v>51</v>
      </c>
      <c r="E355" s="350" t="s">
        <v>1060</v>
      </c>
      <c r="F355" s="51" t="s">
        <v>25</v>
      </c>
      <c r="G355" s="351" t="s">
        <v>683</v>
      </c>
      <c r="H355" s="351" t="s">
        <v>2086</v>
      </c>
      <c r="I355" s="351" t="s">
        <v>2087</v>
      </c>
      <c r="J355" s="351" t="s">
        <v>4054</v>
      </c>
      <c r="K355" s="354">
        <v>100994</v>
      </c>
      <c r="L355" s="355">
        <v>105858</v>
      </c>
      <c r="M355" s="354">
        <v>103027</v>
      </c>
      <c r="N355" s="355">
        <v>103155</v>
      </c>
      <c r="O355" s="355">
        <v>119459</v>
      </c>
      <c r="P355" s="355">
        <v>115193</v>
      </c>
      <c r="Q355" s="355">
        <v>103241</v>
      </c>
      <c r="R355" s="355">
        <v>124639</v>
      </c>
      <c r="S355" s="355">
        <v>139461</v>
      </c>
      <c r="T355" s="355">
        <v>134267</v>
      </c>
      <c r="U355" s="59">
        <f t="shared" si="34"/>
        <v>100994</v>
      </c>
      <c r="V355" s="59">
        <f t="shared" si="35"/>
        <v>139461</v>
      </c>
      <c r="W355" s="59">
        <f t="shared" si="36"/>
        <v>114929.4</v>
      </c>
      <c r="X355" s="60">
        <f t="shared" si="37"/>
        <v>132.94552151612967</v>
      </c>
      <c r="AC355" s="53"/>
      <c r="AL355" s="65">
        <f>_xlfn.IFERROR(INDEX('Tabela PW'!$T:$T,'Słownik PW'!C355,1),"")</f>
        <v>134267</v>
      </c>
    </row>
    <row r="356" spans="1:38" ht="15">
      <c r="A356" s="4" t="s">
        <v>350</v>
      </c>
      <c r="B356" s="5" t="s">
        <v>681</v>
      </c>
      <c r="C356" s="49" t="s">
        <v>365</v>
      </c>
      <c r="D356" s="349">
        <f t="shared" si="33"/>
        <v>58</v>
      </c>
      <c r="E356" s="350" t="s">
        <v>1061</v>
      </c>
      <c r="F356" s="51" t="s">
        <v>25</v>
      </c>
      <c r="G356" s="351" t="s">
        <v>683</v>
      </c>
      <c r="H356" s="351" t="s">
        <v>2088</v>
      </c>
      <c r="I356" s="351" t="s">
        <v>2089</v>
      </c>
      <c r="J356" s="351" t="s">
        <v>4055</v>
      </c>
      <c r="K356" s="354">
        <v>143558</v>
      </c>
      <c r="L356" s="355">
        <v>149595</v>
      </c>
      <c r="M356" s="354">
        <v>134516</v>
      </c>
      <c r="N356" s="355">
        <v>122184</v>
      </c>
      <c r="O356" s="355">
        <v>129263</v>
      </c>
      <c r="P356" s="355">
        <v>126267</v>
      </c>
      <c r="Q356" s="355">
        <v>110522</v>
      </c>
      <c r="R356" s="355">
        <v>121335</v>
      </c>
      <c r="S356" s="355">
        <v>134096</v>
      </c>
      <c r="T356" s="355">
        <v>128636</v>
      </c>
      <c r="U356" s="59">
        <f t="shared" si="34"/>
        <v>110522</v>
      </c>
      <c r="V356" s="59">
        <f t="shared" si="35"/>
        <v>149595</v>
      </c>
      <c r="W356" s="59">
        <f t="shared" si="36"/>
        <v>129997.2</v>
      </c>
      <c r="X356" s="60">
        <f t="shared" si="37"/>
        <v>89.60559495116956</v>
      </c>
      <c r="AC356" s="53"/>
      <c r="AL356" s="65">
        <f>_xlfn.IFERROR(INDEX('Tabela PW'!$T:$T,'Słownik PW'!C356,1),"")</f>
        <v>128636</v>
      </c>
    </row>
    <row r="357" spans="1:38" ht="15">
      <c r="A357" s="4" t="s">
        <v>350</v>
      </c>
      <c r="B357" s="5" t="s">
        <v>681</v>
      </c>
      <c r="C357" s="49" t="s">
        <v>366</v>
      </c>
      <c r="D357" s="349">
        <f t="shared" si="33"/>
        <v>57</v>
      </c>
      <c r="E357" s="350" t="s">
        <v>1062</v>
      </c>
      <c r="F357" s="51" t="s">
        <v>25</v>
      </c>
      <c r="G357" s="351" t="s">
        <v>683</v>
      </c>
      <c r="H357" s="351" t="s">
        <v>2090</v>
      </c>
      <c r="I357" s="351" t="s">
        <v>2091</v>
      </c>
      <c r="J357" s="351" t="s">
        <v>4056</v>
      </c>
      <c r="K357" s="354">
        <v>25506</v>
      </c>
      <c r="L357" s="355">
        <v>28265</v>
      </c>
      <c r="M357" s="354">
        <v>35584</v>
      </c>
      <c r="N357" s="355">
        <v>33925</v>
      </c>
      <c r="O357" s="355">
        <v>35285</v>
      </c>
      <c r="P357" s="355">
        <v>36031</v>
      </c>
      <c r="Q357" s="355">
        <v>35311</v>
      </c>
      <c r="R357" s="355">
        <v>38570</v>
      </c>
      <c r="S357" s="355">
        <v>42482</v>
      </c>
      <c r="T357" s="355">
        <v>44360</v>
      </c>
      <c r="U357" s="59">
        <f t="shared" si="34"/>
        <v>25506</v>
      </c>
      <c r="V357" s="59">
        <f t="shared" si="35"/>
        <v>44360</v>
      </c>
      <c r="W357" s="59">
        <f t="shared" si="36"/>
        <v>35531.9</v>
      </c>
      <c r="X357" s="60">
        <f t="shared" si="37"/>
        <v>173.9198619932565</v>
      </c>
      <c r="AC357" s="53"/>
      <c r="AL357" s="65">
        <f>_xlfn.IFERROR(INDEX('Tabela PW'!$T:$T,'Słownik PW'!C357,1),"")</f>
        <v>44360</v>
      </c>
    </row>
    <row r="358" spans="1:38" ht="15">
      <c r="A358" s="4" t="s">
        <v>350</v>
      </c>
      <c r="B358" s="5" t="s">
        <v>681</v>
      </c>
      <c r="C358" s="49" t="s">
        <v>367</v>
      </c>
      <c r="D358" s="349">
        <f t="shared" si="33"/>
        <v>52</v>
      </c>
      <c r="E358" s="350" t="s">
        <v>1063</v>
      </c>
      <c r="F358" s="51" t="s">
        <v>25</v>
      </c>
      <c r="G358" s="351" t="s">
        <v>683</v>
      </c>
      <c r="H358" s="351" t="s">
        <v>2092</v>
      </c>
      <c r="I358" s="351" t="s">
        <v>2093</v>
      </c>
      <c r="J358" s="351" t="s">
        <v>4057</v>
      </c>
      <c r="K358" s="354">
        <v>186165</v>
      </c>
      <c r="L358" s="355">
        <v>194279</v>
      </c>
      <c r="M358" s="354">
        <v>197788</v>
      </c>
      <c r="N358" s="355">
        <v>219654</v>
      </c>
      <c r="O358" s="355">
        <v>245887</v>
      </c>
      <c r="P358" s="355">
        <v>262167</v>
      </c>
      <c r="Q358" s="355">
        <v>285635</v>
      </c>
      <c r="R358" s="355">
        <v>314110</v>
      </c>
      <c r="S358" s="355">
        <v>335766</v>
      </c>
      <c r="T358" s="355">
        <v>347508</v>
      </c>
      <c r="U358" s="59">
        <f t="shared" si="34"/>
        <v>186165</v>
      </c>
      <c r="V358" s="59">
        <f t="shared" si="35"/>
        <v>347508</v>
      </c>
      <c r="W358" s="59">
        <f t="shared" si="36"/>
        <v>258895.9</v>
      </c>
      <c r="X358" s="60">
        <f t="shared" si="37"/>
        <v>186.66666666666666</v>
      </c>
      <c r="AC358" s="53"/>
      <c r="AL358" s="65">
        <f>_xlfn.IFERROR(INDEX('Tabela PW'!$T:$T,'Słownik PW'!C358,1),"")</f>
        <v>347508</v>
      </c>
    </row>
    <row r="359" spans="1:38" ht="15">
      <c r="A359" s="4" t="s">
        <v>350</v>
      </c>
      <c r="B359" s="5" t="s">
        <v>681</v>
      </c>
      <c r="C359" s="49" t="s">
        <v>368</v>
      </c>
      <c r="D359" s="349">
        <f t="shared" si="33"/>
        <v>65</v>
      </c>
      <c r="E359" s="350" t="s">
        <v>1064</v>
      </c>
      <c r="F359" s="51" t="s">
        <v>25</v>
      </c>
      <c r="G359" s="351" t="s">
        <v>683</v>
      </c>
      <c r="H359" s="351" t="s">
        <v>2094</v>
      </c>
      <c r="I359" s="351" t="s">
        <v>2095</v>
      </c>
      <c r="J359" s="351" t="s">
        <v>4058</v>
      </c>
      <c r="K359" s="354">
        <v>218927</v>
      </c>
      <c r="L359" s="355">
        <v>205268</v>
      </c>
      <c r="M359" s="354">
        <v>216832</v>
      </c>
      <c r="N359" s="355">
        <v>242072</v>
      </c>
      <c r="O359" s="355">
        <v>249149</v>
      </c>
      <c r="P359" s="355">
        <v>292381</v>
      </c>
      <c r="Q359" s="355">
        <v>322345</v>
      </c>
      <c r="R359" s="355">
        <v>346192</v>
      </c>
      <c r="S359" s="355">
        <v>351023</v>
      </c>
      <c r="T359" s="355">
        <v>364668</v>
      </c>
      <c r="U359" s="59">
        <f t="shared" si="34"/>
        <v>205268</v>
      </c>
      <c r="V359" s="59">
        <f t="shared" si="35"/>
        <v>364668</v>
      </c>
      <c r="W359" s="59">
        <f t="shared" si="36"/>
        <v>280885.7</v>
      </c>
      <c r="X359" s="60">
        <f t="shared" si="37"/>
        <v>166.5705920238253</v>
      </c>
      <c r="AC359" s="53"/>
      <c r="AL359" s="65">
        <f>_xlfn.IFERROR(INDEX('Tabela PW'!$T:$T,'Słownik PW'!C359,1),"")</f>
        <v>364668</v>
      </c>
    </row>
    <row r="360" spans="1:38" ht="15">
      <c r="A360" s="4" t="s">
        <v>350</v>
      </c>
      <c r="B360" s="5" t="s">
        <v>681</v>
      </c>
      <c r="C360" s="49" t="s">
        <v>369</v>
      </c>
      <c r="D360" s="349">
        <f t="shared" si="33"/>
        <v>43</v>
      </c>
      <c r="E360" s="350" t="s">
        <v>1065</v>
      </c>
      <c r="F360" s="51" t="s">
        <v>25</v>
      </c>
      <c r="G360" s="351" t="s">
        <v>683</v>
      </c>
      <c r="H360" s="351" t="s">
        <v>2096</v>
      </c>
      <c r="I360" s="351" t="s">
        <v>2097</v>
      </c>
      <c r="J360" s="351" t="s">
        <v>4059</v>
      </c>
      <c r="K360" s="354">
        <v>788247</v>
      </c>
      <c r="L360" s="355">
        <v>766527</v>
      </c>
      <c r="M360" s="354">
        <v>746604</v>
      </c>
      <c r="N360" s="355">
        <v>744503</v>
      </c>
      <c r="O360" s="355">
        <v>788122</v>
      </c>
      <c r="P360" s="355">
        <v>801769</v>
      </c>
      <c r="Q360" s="355">
        <v>837405</v>
      </c>
      <c r="R360" s="355">
        <v>916169</v>
      </c>
      <c r="S360" s="355">
        <v>926662</v>
      </c>
      <c r="T360" s="355">
        <v>990458</v>
      </c>
      <c r="U360" s="59">
        <f t="shared" si="34"/>
        <v>744503</v>
      </c>
      <c r="V360" s="59">
        <f t="shared" si="35"/>
        <v>990458</v>
      </c>
      <c r="W360" s="59">
        <f t="shared" si="36"/>
        <v>830646.6</v>
      </c>
      <c r="X360" s="60">
        <f t="shared" si="37"/>
        <v>125.65325335840163</v>
      </c>
      <c r="AC360" s="53"/>
      <c r="AL360" s="65">
        <f>_xlfn.IFERROR(INDEX('Tabela PW'!$T:$T,'Słownik PW'!C360,1),"")</f>
        <v>990458</v>
      </c>
    </row>
    <row r="361" spans="1:38" ht="15">
      <c r="A361" s="4" t="s">
        <v>350</v>
      </c>
      <c r="B361" s="5" t="s">
        <v>681</v>
      </c>
      <c r="C361" s="49" t="s">
        <v>370</v>
      </c>
      <c r="D361" s="349">
        <f t="shared" si="33"/>
        <v>128</v>
      </c>
      <c r="E361" s="350" t="s">
        <v>1066</v>
      </c>
      <c r="F361" s="51" t="s">
        <v>25</v>
      </c>
      <c r="G361" s="351" t="s">
        <v>683</v>
      </c>
      <c r="H361" s="351" t="s">
        <v>2098</v>
      </c>
      <c r="I361" s="351" t="s">
        <v>2099</v>
      </c>
      <c r="J361" s="351" t="s">
        <v>4060</v>
      </c>
      <c r="K361" s="354">
        <v>32806</v>
      </c>
      <c r="L361" s="355">
        <v>38593</v>
      </c>
      <c r="M361" s="354">
        <v>31942</v>
      </c>
      <c r="N361" s="355">
        <v>36368</v>
      </c>
      <c r="O361" s="355">
        <v>31938</v>
      </c>
      <c r="P361" s="355">
        <v>32677</v>
      </c>
      <c r="Q361" s="355">
        <v>42236</v>
      </c>
      <c r="R361" s="355">
        <v>48676</v>
      </c>
      <c r="S361" s="355">
        <v>49487</v>
      </c>
      <c r="T361" s="355">
        <v>48051</v>
      </c>
      <c r="U361" s="59">
        <f t="shared" si="34"/>
        <v>31938</v>
      </c>
      <c r="V361" s="59">
        <f t="shared" si="35"/>
        <v>49487</v>
      </c>
      <c r="W361" s="59">
        <f t="shared" si="36"/>
        <v>39277.4</v>
      </c>
      <c r="X361" s="60">
        <f t="shared" si="37"/>
        <v>146.4701578979455</v>
      </c>
      <c r="AC361" s="53"/>
      <c r="AL361" s="65">
        <f>_xlfn.IFERROR(INDEX('Tabela PW'!$T:$T,'Słownik PW'!C361,1),"")</f>
        <v>48051</v>
      </c>
    </row>
    <row r="362" spans="1:38" ht="15">
      <c r="A362" s="4" t="s">
        <v>350</v>
      </c>
      <c r="B362" s="5" t="s">
        <v>681</v>
      </c>
      <c r="C362" s="49" t="s">
        <v>370</v>
      </c>
      <c r="D362" s="349">
        <f t="shared" si="33"/>
        <v>128</v>
      </c>
      <c r="E362" s="350" t="s">
        <v>1067</v>
      </c>
      <c r="F362" s="51" t="s">
        <v>146</v>
      </c>
      <c r="G362" s="351" t="s">
        <v>703</v>
      </c>
      <c r="H362" s="351" t="s">
        <v>2100</v>
      </c>
      <c r="I362" s="351" t="s">
        <v>2101</v>
      </c>
      <c r="J362" s="351" t="s">
        <v>4061</v>
      </c>
      <c r="K362" s="354">
        <v>15616</v>
      </c>
      <c r="L362" s="355">
        <v>18024</v>
      </c>
      <c r="M362" s="354">
        <v>15191</v>
      </c>
      <c r="N362" s="355">
        <v>16362</v>
      </c>
      <c r="O362" s="355">
        <v>14759</v>
      </c>
      <c r="P362" s="355">
        <v>14265</v>
      </c>
      <c r="Q362" s="355">
        <v>15693</v>
      </c>
      <c r="R362" s="355">
        <v>15571</v>
      </c>
      <c r="S362" s="355">
        <v>15172</v>
      </c>
      <c r="T362" s="355">
        <v>14752</v>
      </c>
      <c r="U362" s="59">
        <f t="shared" si="34"/>
        <v>14265</v>
      </c>
      <c r="V362" s="59">
        <f t="shared" si="35"/>
        <v>18024</v>
      </c>
      <c r="W362" s="59">
        <f t="shared" si="36"/>
        <v>15540.5</v>
      </c>
      <c r="X362" s="60">
        <f t="shared" si="37"/>
        <v>94.4672131147541</v>
      </c>
      <c r="AC362" s="53"/>
      <c r="AL362" s="65">
        <f>_xlfn.IFERROR(INDEX('Tabela PW'!$T:$T,'Słownik PW'!C362,1),"")</f>
        <v>14752</v>
      </c>
    </row>
    <row r="363" spans="1:38" ht="15">
      <c r="A363" s="4" t="s">
        <v>350</v>
      </c>
      <c r="B363" s="5" t="s">
        <v>681</v>
      </c>
      <c r="C363" s="49" t="s">
        <v>371</v>
      </c>
      <c r="D363" s="349">
        <f t="shared" si="33"/>
        <v>58</v>
      </c>
      <c r="E363" s="350" t="s">
        <v>1068</v>
      </c>
      <c r="F363" s="51" t="s">
        <v>25</v>
      </c>
      <c r="G363" s="351" t="s">
        <v>683</v>
      </c>
      <c r="H363" s="351" t="s">
        <v>2102</v>
      </c>
      <c r="I363" s="351" t="s">
        <v>2103</v>
      </c>
      <c r="J363" s="351" t="s">
        <v>4062</v>
      </c>
      <c r="K363" s="354">
        <v>20004</v>
      </c>
      <c r="L363" s="355">
        <v>21316</v>
      </c>
      <c r="M363" s="354">
        <v>17955</v>
      </c>
      <c r="N363" s="355">
        <v>18171</v>
      </c>
      <c r="O363" s="355">
        <v>19291</v>
      </c>
      <c r="P363" s="355">
        <v>18327</v>
      </c>
      <c r="Q363" s="355">
        <v>18712</v>
      </c>
      <c r="R363" s="355">
        <v>28211</v>
      </c>
      <c r="S363" s="355">
        <v>26556</v>
      </c>
      <c r="T363" s="355">
        <v>25843</v>
      </c>
      <c r="U363" s="59">
        <f t="shared" si="34"/>
        <v>17955</v>
      </c>
      <c r="V363" s="59">
        <f t="shared" si="35"/>
        <v>28211</v>
      </c>
      <c r="W363" s="59">
        <f t="shared" si="36"/>
        <v>21438.6</v>
      </c>
      <c r="X363" s="60">
        <f t="shared" si="37"/>
        <v>129.18916216756648</v>
      </c>
      <c r="AC363" s="53"/>
      <c r="AL363" s="65">
        <f>_xlfn.IFERROR(INDEX('Tabela PW'!$T:$T,'Słownik PW'!C363,1),"")</f>
        <v>25843</v>
      </c>
    </row>
    <row r="364" spans="1:38" ht="15">
      <c r="A364" s="4" t="s">
        <v>350</v>
      </c>
      <c r="B364" s="5" t="s">
        <v>681</v>
      </c>
      <c r="C364" s="49" t="s">
        <v>372</v>
      </c>
      <c r="D364" s="349">
        <f t="shared" si="33"/>
        <v>26</v>
      </c>
      <c r="E364" s="350" t="s">
        <v>1069</v>
      </c>
      <c r="F364" s="51" t="s">
        <v>154</v>
      </c>
      <c r="G364" s="351" t="s">
        <v>682</v>
      </c>
      <c r="H364" s="351" t="s">
        <v>2104</v>
      </c>
      <c r="I364" s="351" t="s">
        <v>2105</v>
      </c>
      <c r="J364" s="351" t="s">
        <v>4063</v>
      </c>
      <c r="K364" s="354">
        <v>536328</v>
      </c>
      <c r="L364" s="355">
        <v>600571</v>
      </c>
      <c r="M364" s="354">
        <v>604426</v>
      </c>
      <c r="N364" s="355">
        <v>663107</v>
      </c>
      <c r="O364" s="355">
        <v>693251</v>
      </c>
      <c r="P364" s="355">
        <v>702707</v>
      </c>
      <c r="Q364" s="355">
        <v>913527</v>
      </c>
      <c r="R364" s="355">
        <v>853425</v>
      </c>
      <c r="S364" s="355">
        <v>862834</v>
      </c>
      <c r="T364" s="355">
        <v>879745</v>
      </c>
      <c r="U364" s="59">
        <f t="shared" si="34"/>
        <v>536328</v>
      </c>
      <c r="V364" s="59">
        <f t="shared" si="35"/>
        <v>913527</v>
      </c>
      <c r="W364" s="59">
        <f t="shared" si="36"/>
        <v>730992.1</v>
      </c>
      <c r="X364" s="60">
        <f t="shared" si="37"/>
        <v>164.03115257827298</v>
      </c>
      <c r="AC364" s="53"/>
      <c r="AL364" s="65">
        <f>_xlfn.IFERROR(INDEX('Tabela PW'!$T:$T,'Słownik PW'!C364,1),"")</f>
        <v>879745</v>
      </c>
    </row>
    <row r="365" spans="1:38" ht="15">
      <c r="A365" s="4" t="s">
        <v>350</v>
      </c>
      <c r="B365" s="5" t="s">
        <v>681</v>
      </c>
      <c r="C365" s="49" t="s">
        <v>373</v>
      </c>
      <c r="D365" s="349">
        <f t="shared" si="33"/>
        <v>29</v>
      </c>
      <c r="E365" s="350" t="s">
        <v>1070</v>
      </c>
      <c r="F365" s="51" t="s">
        <v>154</v>
      </c>
      <c r="G365" s="351" t="s">
        <v>682</v>
      </c>
      <c r="H365" s="351" t="s">
        <v>2106</v>
      </c>
      <c r="I365" s="351" t="s">
        <v>2107</v>
      </c>
      <c r="J365" s="351" t="s">
        <v>4064</v>
      </c>
      <c r="K365" s="354">
        <v>653822</v>
      </c>
      <c r="L365" s="355">
        <v>894210</v>
      </c>
      <c r="M365" s="354">
        <v>789623</v>
      </c>
      <c r="N365" s="355">
        <v>774745</v>
      </c>
      <c r="O365" s="355">
        <v>886955</v>
      </c>
      <c r="P365" s="355">
        <v>851414</v>
      </c>
      <c r="Q365" s="355">
        <v>848180</v>
      </c>
      <c r="R365" s="355">
        <v>956707</v>
      </c>
      <c r="S365" s="355">
        <v>962402</v>
      </c>
      <c r="T365" s="355">
        <v>958722</v>
      </c>
      <c r="U365" s="59">
        <f t="shared" si="34"/>
        <v>653822</v>
      </c>
      <c r="V365" s="59">
        <f t="shared" si="35"/>
        <v>962402</v>
      </c>
      <c r="W365" s="59">
        <f t="shared" si="36"/>
        <v>857678</v>
      </c>
      <c r="X365" s="60">
        <f t="shared" si="37"/>
        <v>146.63348740176988</v>
      </c>
      <c r="AC365" s="53"/>
      <c r="AL365" s="65">
        <f>_xlfn.IFERROR(INDEX('Tabela PW'!$T:$T,'Słownik PW'!C365,1),"")</f>
        <v>958722</v>
      </c>
    </row>
    <row r="366" spans="1:38" ht="15">
      <c r="A366" s="4" t="s">
        <v>350</v>
      </c>
      <c r="B366" s="5" t="s">
        <v>681</v>
      </c>
      <c r="C366" s="49" t="s">
        <v>374</v>
      </c>
      <c r="D366" s="349">
        <f t="shared" si="33"/>
        <v>41</v>
      </c>
      <c r="E366" s="350" t="s">
        <v>1071</v>
      </c>
      <c r="F366" s="51" t="s">
        <v>154</v>
      </c>
      <c r="G366" s="351" t="s">
        <v>682</v>
      </c>
      <c r="H366" s="351" t="s">
        <v>2108</v>
      </c>
      <c r="I366" s="351" t="s">
        <v>2109</v>
      </c>
      <c r="J366" s="351" t="s">
        <v>4065</v>
      </c>
      <c r="K366" s="354">
        <v>7085768</v>
      </c>
      <c r="L366" s="355">
        <v>7169576</v>
      </c>
      <c r="M366" s="354">
        <v>6909783</v>
      </c>
      <c r="N366" s="355">
        <v>6805007</v>
      </c>
      <c r="O366" s="355">
        <v>6945071</v>
      </c>
      <c r="P366" s="355">
        <v>7142155</v>
      </c>
      <c r="Q366" s="355">
        <v>7387472</v>
      </c>
      <c r="R366" s="355">
        <v>8163612</v>
      </c>
      <c r="S366" s="355">
        <v>8467825</v>
      </c>
      <c r="T366" s="355">
        <v>8644849</v>
      </c>
      <c r="U366" s="59">
        <f t="shared" si="34"/>
        <v>6805007</v>
      </c>
      <c r="V366" s="59">
        <f t="shared" si="35"/>
        <v>8644849</v>
      </c>
      <c r="W366" s="59">
        <f t="shared" si="36"/>
        <v>7472111.8</v>
      </c>
      <c r="X366" s="60">
        <f t="shared" si="37"/>
        <v>122.0029924773151</v>
      </c>
      <c r="AC366" s="53"/>
      <c r="AL366" s="65">
        <f>_xlfn.IFERROR(INDEX('Tabela PW'!$T:$T,'Słownik PW'!C366,1),"")</f>
        <v>8644849</v>
      </c>
    </row>
    <row r="367" spans="1:38" ht="15">
      <c r="A367" s="4" t="s">
        <v>350</v>
      </c>
      <c r="B367" s="5" t="s">
        <v>681</v>
      </c>
      <c r="C367" s="49" t="s">
        <v>375</v>
      </c>
      <c r="D367" s="349">
        <f t="shared" si="33"/>
        <v>42</v>
      </c>
      <c r="E367" s="350" t="s">
        <v>1072</v>
      </c>
      <c r="F367" s="51" t="s">
        <v>154</v>
      </c>
      <c r="G367" s="351" t="s">
        <v>682</v>
      </c>
      <c r="H367" s="351" t="s">
        <v>2110</v>
      </c>
      <c r="I367" s="351" t="s">
        <v>2111</v>
      </c>
      <c r="J367" s="351" t="s">
        <v>4066</v>
      </c>
      <c r="K367" s="354">
        <v>364531</v>
      </c>
      <c r="L367" s="355">
        <v>350997</v>
      </c>
      <c r="M367" s="354">
        <v>323179</v>
      </c>
      <c r="N367" s="355">
        <v>321991</v>
      </c>
      <c r="O367" s="355">
        <v>341031</v>
      </c>
      <c r="P367" s="355">
        <v>418321</v>
      </c>
      <c r="Q367" s="355">
        <v>389034</v>
      </c>
      <c r="R367" s="355">
        <v>402283</v>
      </c>
      <c r="S367" s="355">
        <v>338503</v>
      </c>
      <c r="T367" s="355">
        <v>385784</v>
      </c>
      <c r="U367" s="59">
        <f t="shared" si="34"/>
        <v>321991</v>
      </c>
      <c r="V367" s="59">
        <f t="shared" si="35"/>
        <v>418321</v>
      </c>
      <c r="W367" s="59">
        <f t="shared" si="36"/>
        <v>363565.4</v>
      </c>
      <c r="X367" s="60">
        <f t="shared" si="37"/>
        <v>105.83023117375477</v>
      </c>
      <c r="AC367" s="53"/>
      <c r="AL367" s="65">
        <f>_xlfn.IFERROR(INDEX('Tabela PW'!$T:$T,'Słownik PW'!C367,1),"")</f>
        <v>385784</v>
      </c>
    </row>
    <row r="368" spans="1:38" ht="15">
      <c r="A368" s="4" t="s">
        <v>376</v>
      </c>
      <c r="B368" s="5" t="s">
        <v>682</v>
      </c>
      <c r="C368" s="49" t="s">
        <v>377</v>
      </c>
      <c r="D368" s="349">
        <f t="shared" si="33"/>
        <v>154</v>
      </c>
      <c r="E368" s="350" t="s">
        <v>1073</v>
      </c>
      <c r="F368" s="51" t="s">
        <v>25</v>
      </c>
      <c r="G368" s="351" t="s">
        <v>683</v>
      </c>
      <c r="H368" s="351" t="s">
        <v>2112</v>
      </c>
      <c r="I368" s="351" t="s">
        <v>2113</v>
      </c>
      <c r="J368" s="351" t="s">
        <v>4067</v>
      </c>
      <c r="K368" s="354">
        <v>47827</v>
      </c>
      <c r="L368" s="355">
        <v>35982</v>
      </c>
      <c r="M368" s="354">
        <v>27363</v>
      </c>
      <c r="N368" s="355">
        <v>18057</v>
      </c>
      <c r="O368" s="355">
        <v>18643</v>
      </c>
      <c r="P368" s="355">
        <v>16997</v>
      </c>
      <c r="Q368" s="355">
        <v>17836</v>
      </c>
      <c r="R368" s="355">
        <v>18660</v>
      </c>
      <c r="S368" s="355">
        <v>20477</v>
      </c>
      <c r="T368" s="355">
        <v>15567</v>
      </c>
      <c r="U368" s="59">
        <f t="shared" si="34"/>
        <v>15567</v>
      </c>
      <c r="V368" s="59">
        <f t="shared" si="35"/>
        <v>47827</v>
      </c>
      <c r="W368" s="59">
        <f t="shared" si="36"/>
        <v>23740.9</v>
      </c>
      <c r="X368" s="60">
        <f t="shared" si="37"/>
        <v>32.54856043657348</v>
      </c>
      <c r="AC368" s="53"/>
      <c r="AL368" s="65">
        <f>_xlfn.IFERROR(INDEX('Tabela PW'!$T:$T,'Słownik PW'!C368,1),"")</f>
        <v>15567</v>
      </c>
    </row>
    <row r="369" spans="1:38" ht="15">
      <c r="A369" s="4" t="s">
        <v>376</v>
      </c>
      <c r="B369" s="5" t="s">
        <v>682</v>
      </c>
      <c r="C369" s="49" t="s">
        <v>378</v>
      </c>
      <c r="D369" s="349">
        <f t="shared" si="33"/>
        <v>165</v>
      </c>
      <c r="E369" s="350" t="s">
        <v>1074</v>
      </c>
      <c r="F369" s="51" t="s">
        <v>25</v>
      </c>
      <c r="G369" s="351" t="s">
        <v>683</v>
      </c>
      <c r="H369" s="351" t="s">
        <v>2114</v>
      </c>
      <c r="I369" s="351" t="s">
        <v>2115</v>
      </c>
      <c r="J369" s="351" t="s">
        <v>4068</v>
      </c>
      <c r="K369" s="354">
        <v>8968</v>
      </c>
      <c r="L369" s="355">
        <v>7493</v>
      </c>
      <c r="M369" s="354">
        <v>7874</v>
      </c>
      <c r="N369" s="355">
        <v>6943</v>
      </c>
      <c r="O369" s="355">
        <v>4486</v>
      </c>
      <c r="P369" s="355">
        <v>7103</v>
      </c>
      <c r="Q369" s="355">
        <v>6705</v>
      </c>
      <c r="R369" s="355">
        <v>7195</v>
      </c>
      <c r="S369" s="355">
        <v>10297</v>
      </c>
      <c r="T369" s="355">
        <v>5948</v>
      </c>
      <c r="U369" s="59">
        <f t="shared" si="34"/>
        <v>4486</v>
      </c>
      <c r="V369" s="59">
        <f t="shared" si="35"/>
        <v>10297</v>
      </c>
      <c r="W369" s="59">
        <f t="shared" si="36"/>
        <v>7301.2</v>
      </c>
      <c r="X369" s="60">
        <f t="shared" si="37"/>
        <v>66.32471008028546</v>
      </c>
      <c r="AC369" s="53"/>
      <c r="AL369" s="65">
        <f>_xlfn.IFERROR(INDEX('Tabela PW'!$T:$T,'Słownik PW'!C369,1),"")</f>
        <v>5948</v>
      </c>
    </row>
    <row r="370" spans="1:38" ht="15">
      <c r="A370" s="4" t="s">
        <v>376</v>
      </c>
      <c r="B370" s="5" t="s">
        <v>682</v>
      </c>
      <c r="C370" s="49" t="s">
        <v>379</v>
      </c>
      <c r="D370" s="349">
        <f t="shared" si="33"/>
        <v>113</v>
      </c>
      <c r="E370" s="350" t="s">
        <v>1075</v>
      </c>
      <c r="F370" s="51" t="s">
        <v>146</v>
      </c>
      <c r="G370" s="351" t="s">
        <v>703</v>
      </c>
      <c r="H370" s="351" t="s">
        <v>2116</v>
      </c>
      <c r="I370" s="351" t="s">
        <v>2117</v>
      </c>
      <c r="J370" s="351" t="s">
        <v>4069</v>
      </c>
      <c r="K370" s="354">
        <v>86922</v>
      </c>
      <c r="L370" s="355">
        <v>96049</v>
      </c>
      <c r="M370" s="354">
        <v>102321</v>
      </c>
      <c r="N370" s="355">
        <v>103544</v>
      </c>
      <c r="O370" s="355">
        <v>103842</v>
      </c>
      <c r="P370" s="355">
        <v>98476</v>
      </c>
      <c r="Q370" s="355">
        <v>107339</v>
      </c>
      <c r="R370" s="355">
        <v>113173</v>
      </c>
      <c r="S370" s="355">
        <v>101064</v>
      </c>
      <c r="T370" s="355">
        <v>144360</v>
      </c>
      <c r="U370" s="59">
        <f t="shared" si="34"/>
        <v>86922</v>
      </c>
      <c r="V370" s="59">
        <f t="shared" si="35"/>
        <v>144360</v>
      </c>
      <c r="W370" s="59">
        <f t="shared" si="36"/>
        <v>105709</v>
      </c>
      <c r="X370" s="60">
        <f t="shared" si="37"/>
        <v>166.0799337336923</v>
      </c>
      <c r="AC370" s="53"/>
      <c r="AL370" s="65">
        <f>_xlfn.IFERROR(INDEX('Tabela PW'!$T:$T,'Słownik PW'!C370,1),"")</f>
        <v>144360</v>
      </c>
    </row>
    <row r="371" spans="1:38" ht="15">
      <c r="A371" s="4" t="s">
        <v>376</v>
      </c>
      <c r="B371" s="5" t="s">
        <v>682</v>
      </c>
      <c r="C371" s="49" t="s">
        <v>380</v>
      </c>
      <c r="D371" s="349">
        <f t="shared" si="33"/>
        <v>139</v>
      </c>
      <c r="E371" s="350" t="s">
        <v>1076</v>
      </c>
      <c r="F371" s="51" t="s">
        <v>25</v>
      </c>
      <c r="G371" s="351" t="s">
        <v>683</v>
      </c>
      <c r="H371" s="351" t="s">
        <v>2118</v>
      </c>
      <c r="I371" s="351" t="s">
        <v>2119</v>
      </c>
      <c r="J371" s="351" t="s">
        <v>4070</v>
      </c>
      <c r="K371" s="354">
        <v>51032</v>
      </c>
      <c r="L371" s="355">
        <v>48572</v>
      </c>
      <c r="M371" s="354">
        <v>55228</v>
      </c>
      <c r="N371" s="355">
        <v>64732</v>
      </c>
      <c r="O371" s="355">
        <v>67820</v>
      </c>
      <c r="P371" s="355">
        <v>72876</v>
      </c>
      <c r="Q371" s="355">
        <v>80573</v>
      </c>
      <c r="R371" s="355">
        <v>109347</v>
      </c>
      <c r="S371" s="355">
        <v>98677</v>
      </c>
      <c r="T371" s="355">
        <v>84378</v>
      </c>
      <c r="U371" s="59">
        <f t="shared" si="34"/>
        <v>48572</v>
      </c>
      <c r="V371" s="59">
        <f t="shared" si="35"/>
        <v>109347</v>
      </c>
      <c r="W371" s="59">
        <f t="shared" si="36"/>
        <v>73323.5</v>
      </c>
      <c r="X371" s="60">
        <f t="shared" si="37"/>
        <v>165.3433139990594</v>
      </c>
      <c r="AC371" s="53"/>
      <c r="AL371" s="65">
        <f>_xlfn.IFERROR(INDEX('Tabela PW'!$T:$T,'Słownik PW'!C371,1),"")</f>
        <v>84378</v>
      </c>
    </row>
    <row r="372" spans="1:38" ht="15">
      <c r="A372" s="4" t="s">
        <v>376</v>
      </c>
      <c r="B372" s="5" t="s">
        <v>682</v>
      </c>
      <c r="C372" s="49" t="s">
        <v>381</v>
      </c>
      <c r="D372" s="349">
        <f t="shared" si="33"/>
        <v>144</v>
      </c>
      <c r="E372" s="350" t="s">
        <v>1077</v>
      </c>
      <c r="F372" s="51" t="s">
        <v>25</v>
      </c>
      <c r="G372" s="351" t="s">
        <v>683</v>
      </c>
      <c r="H372" s="351" t="s">
        <v>2120</v>
      </c>
      <c r="I372" s="351" t="s">
        <v>2121</v>
      </c>
      <c r="J372" s="351" t="s">
        <v>4071</v>
      </c>
      <c r="K372" s="354">
        <v>65506</v>
      </c>
      <c r="L372" s="355">
        <v>77397</v>
      </c>
      <c r="M372" s="354">
        <v>77863</v>
      </c>
      <c r="N372" s="355">
        <v>108231</v>
      </c>
      <c r="O372" s="355">
        <v>130808</v>
      </c>
      <c r="P372" s="355">
        <v>136638</v>
      </c>
      <c r="Q372" s="355">
        <v>149654</v>
      </c>
      <c r="R372" s="355">
        <v>162316</v>
      </c>
      <c r="S372" s="355">
        <v>173708</v>
      </c>
      <c r="T372" s="355">
        <v>132287</v>
      </c>
      <c r="U372" s="59">
        <f t="shared" si="34"/>
        <v>65506</v>
      </c>
      <c r="V372" s="59">
        <f t="shared" si="35"/>
        <v>173708</v>
      </c>
      <c r="W372" s="59">
        <f t="shared" si="36"/>
        <v>121440.8</v>
      </c>
      <c r="X372" s="60">
        <f t="shared" si="37"/>
        <v>201.94638659054132</v>
      </c>
      <c r="AC372" s="53"/>
      <c r="AL372" s="65">
        <f>_xlfn.IFERROR(INDEX('Tabela PW'!$T:$T,'Słownik PW'!C372,1),"")</f>
        <v>132287</v>
      </c>
    </row>
    <row r="373" spans="1:38" ht="15">
      <c r="A373" s="4" t="s">
        <v>376</v>
      </c>
      <c r="B373" s="5" t="s">
        <v>682</v>
      </c>
      <c r="C373" s="49" t="s">
        <v>382</v>
      </c>
      <c r="D373" s="349">
        <f t="shared" si="33"/>
        <v>29</v>
      </c>
      <c r="E373" s="350" t="s">
        <v>1078</v>
      </c>
      <c r="F373" s="51" t="s">
        <v>146</v>
      </c>
      <c r="G373" s="351" t="s">
        <v>703</v>
      </c>
      <c r="H373" s="351" t="s">
        <v>2122</v>
      </c>
      <c r="I373" s="351" t="s">
        <v>2123</v>
      </c>
      <c r="J373" s="351" t="s">
        <v>4072</v>
      </c>
      <c r="K373" s="354">
        <v>13388</v>
      </c>
      <c r="L373" s="355">
        <v>13829</v>
      </c>
      <c r="M373" s="354">
        <v>13073</v>
      </c>
      <c r="N373" s="355">
        <v>12426</v>
      </c>
      <c r="O373" s="355">
        <v>12921</v>
      </c>
      <c r="P373" s="355">
        <v>13685</v>
      </c>
      <c r="Q373" s="355">
        <v>14147</v>
      </c>
      <c r="R373" s="355">
        <v>14285</v>
      </c>
      <c r="S373" s="355">
        <v>13979</v>
      </c>
      <c r="T373" s="355">
        <v>13385</v>
      </c>
      <c r="U373" s="59">
        <f t="shared" si="34"/>
        <v>12426</v>
      </c>
      <c r="V373" s="59">
        <f t="shared" si="35"/>
        <v>14285</v>
      </c>
      <c r="W373" s="59">
        <f t="shared" si="36"/>
        <v>13511.8</v>
      </c>
      <c r="X373" s="60">
        <f t="shared" si="37"/>
        <v>99.9775918733194</v>
      </c>
      <c r="AC373" s="53"/>
      <c r="AL373" s="65">
        <f>_xlfn.IFERROR(INDEX('Tabela PW'!$T:$T,'Słownik PW'!C373,1),"")</f>
        <v>13385</v>
      </c>
    </row>
    <row r="374" spans="1:38" ht="15">
      <c r="A374" s="4" t="s">
        <v>376</v>
      </c>
      <c r="B374" s="5" t="s">
        <v>682</v>
      </c>
      <c r="C374" s="49" t="s">
        <v>383</v>
      </c>
      <c r="D374" s="349">
        <f t="shared" si="33"/>
        <v>29</v>
      </c>
      <c r="E374" s="350" t="s">
        <v>1079</v>
      </c>
      <c r="F374" s="51" t="s">
        <v>146</v>
      </c>
      <c r="G374" s="351" t="s">
        <v>703</v>
      </c>
      <c r="H374" s="351" t="s">
        <v>2124</v>
      </c>
      <c r="I374" s="351" t="s">
        <v>2125</v>
      </c>
      <c r="J374" s="351" t="s">
        <v>4073</v>
      </c>
      <c r="K374" s="354">
        <v>1011</v>
      </c>
      <c r="L374" s="355">
        <v>1393</v>
      </c>
      <c r="M374" s="354">
        <v>1829</v>
      </c>
      <c r="N374" s="355">
        <v>2108</v>
      </c>
      <c r="O374" s="355">
        <v>2637</v>
      </c>
      <c r="P374" s="355">
        <v>3226</v>
      </c>
      <c r="Q374" s="355">
        <v>3566</v>
      </c>
      <c r="R374" s="355">
        <v>4813</v>
      </c>
      <c r="S374" s="355">
        <v>5321</v>
      </c>
      <c r="T374" s="355">
        <v>5901</v>
      </c>
      <c r="U374" s="59">
        <f t="shared" si="34"/>
        <v>1011</v>
      </c>
      <c r="V374" s="59">
        <f t="shared" si="35"/>
        <v>5901</v>
      </c>
      <c r="W374" s="59">
        <f t="shared" si="36"/>
        <v>3180.5</v>
      </c>
      <c r="X374" s="60">
        <f t="shared" si="37"/>
        <v>583.6795252225519</v>
      </c>
      <c r="AC374" s="53"/>
      <c r="AL374" s="65">
        <f>_xlfn.IFERROR(INDEX('Tabela PW'!$T:$T,'Słownik PW'!C374,1),"")</f>
        <v>5901</v>
      </c>
    </row>
    <row r="375" spans="1:38" ht="15">
      <c r="A375" s="4" t="s">
        <v>376</v>
      </c>
      <c r="B375" s="5" t="s">
        <v>682</v>
      </c>
      <c r="C375" s="49" t="s">
        <v>384</v>
      </c>
      <c r="D375" s="349">
        <f t="shared" si="33"/>
        <v>205</v>
      </c>
      <c r="E375" s="350" t="s">
        <v>1080</v>
      </c>
      <c r="F375" s="51" t="s">
        <v>156</v>
      </c>
      <c r="G375" s="351" t="s">
        <v>705</v>
      </c>
      <c r="H375" s="351" t="s">
        <v>2126</v>
      </c>
      <c r="I375" s="351" t="s">
        <v>2127</v>
      </c>
      <c r="J375" s="351" t="s">
        <v>4074</v>
      </c>
      <c r="K375" s="354">
        <v>2000874</v>
      </c>
      <c r="L375" s="355">
        <v>2066171</v>
      </c>
      <c r="M375" s="354">
        <v>2290162</v>
      </c>
      <c r="N375" s="355">
        <v>2161200</v>
      </c>
      <c r="O375" s="355">
        <v>2249586</v>
      </c>
      <c r="P375" s="355">
        <v>2236575</v>
      </c>
      <c r="Q375" s="355">
        <v>2557994</v>
      </c>
      <c r="R375" s="355">
        <v>2737216</v>
      </c>
      <c r="S375" s="355">
        <v>2819866</v>
      </c>
      <c r="T375" s="355">
        <v>2785441</v>
      </c>
      <c r="U375" s="59">
        <f t="shared" si="34"/>
        <v>2000874</v>
      </c>
      <c r="V375" s="59">
        <f t="shared" si="35"/>
        <v>2819866</v>
      </c>
      <c r="W375" s="59">
        <f t="shared" si="36"/>
        <v>2390508.5</v>
      </c>
      <c r="X375" s="60">
        <f t="shared" si="37"/>
        <v>139.21121469917645</v>
      </c>
      <c r="AC375" s="53"/>
      <c r="AL375" s="65">
        <f>_xlfn.IFERROR(INDEX('Tabela PW'!$T:$T,'Słownik PW'!C375,1),"")</f>
        <v>2785441</v>
      </c>
    </row>
    <row r="376" spans="1:38" ht="15">
      <c r="A376" s="4" t="s">
        <v>376</v>
      </c>
      <c r="B376" s="5" t="s">
        <v>682</v>
      </c>
      <c r="C376" s="49" t="s">
        <v>385</v>
      </c>
      <c r="D376" s="349">
        <f t="shared" si="33"/>
        <v>206</v>
      </c>
      <c r="E376" s="350" t="s">
        <v>1081</v>
      </c>
      <c r="F376" s="51" t="s">
        <v>156</v>
      </c>
      <c r="G376" s="351" t="s">
        <v>705</v>
      </c>
      <c r="H376" s="351" t="s">
        <v>2128</v>
      </c>
      <c r="I376" s="351" t="s">
        <v>2129</v>
      </c>
      <c r="J376" s="351" t="s">
        <v>4075</v>
      </c>
      <c r="K376" s="354">
        <v>1074561</v>
      </c>
      <c r="L376" s="355">
        <v>1015660</v>
      </c>
      <c r="M376" s="354">
        <v>1016637</v>
      </c>
      <c r="N376" s="355">
        <v>1185164</v>
      </c>
      <c r="O376" s="355">
        <v>1216291</v>
      </c>
      <c r="P376" s="355">
        <v>1301999</v>
      </c>
      <c r="Q376" s="355">
        <v>1445941</v>
      </c>
      <c r="R376" s="355">
        <v>1526408</v>
      </c>
      <c r="S376" s="355">
        <v>1680276</v>
      </c>
      <c r="T376" s="355">
        <v>1677600</v>
      </c>
      <c r="U376" s="59">
        <f t="shared" si="34"/>
        <v>1015660</v>
      </c>
      <c r="V376" s="59">
        <f t="shared" si="35"/>
        <v>1680276</v>
      </c>
      <c r="W376" s="59">
        <f t="shared" si="36"/>
        <v>1314053.7</v>
      </c>
      <c r="X376" s="60">
        <f t="shared" si="37"/>
        <v>156.1195688285728</v>
      </c>
      <c r="AC376" s="53"/>
      <c r="AL376" s="65">
        <f>_xlfn.IFERROR(INDEX('Tabela PW'!$T:$T,'Słownik PW'!C376,1),"")</f>
        <v>1677600</v>
      </c>
    </row>
    <row r="377" spans="1:38" ht="15">
      <c r="A377" s="4" t="s">
        <v>376</v>
      </c>
      <c r="B377" s="5" t="s">
        <v>682</v>
      </c>
      <c r="C377" s="49" t="s">
        <v>386</v>
      </c>
      <c r="D377" s="349">
        <f t="shared" si="33"/>
        <v>56</v>
      </c>
      <c r="E377" s="350" t="s">
        <v>1082</v>
      </c>
      <c r="F377" s="51" t="s">
        <v>156</v>
      </c>
      <c r="G377" s="351" t="s">
        <v>705</v>
      </c>
      <c r="H377" s="351" t="s">
        <v>2130</v>
      </c>
      <c r="I377" s="351" t="s">
        <v>2131</v>
      </c>
      <c r="J377" s="351" t="s">
        <v>4076</v>
      </c>
      <c r="K377" s="354">
        <v>109407</v>
      </c>
      <c r="L377" s="355">
        <v>92332</v>
      </c>
      <c r="M377" s="354">
        <v>94696</v>
      </c>
      <c r="N377" s="355">
        <v>90221</v>
      </c>
      <c r="O377" s="355">
        <v>101081</v>
      </c>
      <c r="P377" s="355">
        <v>103525</v>
      </c>
      <c r="Q377" s="355">
        <v>99103</v>
      </c>
      <c r="R377" s="355">
        <v>99443</v>
      </c>
      <c r="S377" s="355">
        <v>116034</v>
      </c>
      <c r="T377" s="355">
        <v>112371</v>
      </c>
      <c r="U377" s="59">
        <f t="shared" si="34"/>
        <v>90221</v>
      </c>
      <c r="V377" s="59">
        <f t="shared" si="35"/>
        <v>116034</v>
      </c>
      <c r="W377" s="59">
        <f t="shared" si="36"/>
        <v>101821.3</v>
      </c>
      <c r="X377" s="60">
        <f t="shared" si="37"/>
        <v>102.70915023718774</v>
      </c>
      <c r="AC377" s="53"/>
      <c r="AL377" s="65">
        <f>_xlfn.IFERROR(INDEX('Tabela PW'!$T:$T,'Słownik PW'!C377,1),"")</f>
        <v>112371</v>
      </c>
    </row>
    <row r="378" spans="1:38" ht="15">
      <c r="A378" s="4" t="s">
        <v>376</v>
      </c>
      <c r="B378" s="5" t="s">
        <v>682</v>
      </c>
      <c r="C378" s="49" t="s">
        <v>387</v>
      </c>
      <c r="D378" s="349">
        <f t="shared" si="33"/>
        <v>162</v>
      </c>
      <c r="E378" s="350" t="s">
        <v>1083</v>
      </c>
      <c r="F378" s="51" t="s">
        <v>156</v>
      </c>
      <c r="G378" s="351" t="s">
        <v>705</v>
      </c>
      <c r="H378" s="351" t="s">
        <v>2132</v>
      </c>
      <c r="I378" s="351" t="s">
        <v>2133</v>
      </c>
      <c r="J378" s="351" t="s">
        <v>4077</v>
      </c>
      <c r="K378" s="354">
        <v>2007</v>
      </c>
      <c r="L378" s="355">
        <v>2396</v>
      </c>
      <c r="M378" s="354">
        <v>2810</v>
      </c>
      <c r="N378" s="355">
        <v>2051</v>
      </c>
      <c r="O378" s="355">
        <v>1824</v>
      </c>
      <c r="P378" s="355">
        <v>2587</v>
      </c>
      <c r="Q378" s="355">
        <v>2146</v>
      </c>
      <c r="R378" s="355">
        <v>1451</v>
      </c>
      <c r="S378" s="355">
        <v>339</v>
      </c>
      <c r="T378" s="355">
        <v>43</v>
      </c>
      <c r="U378" s="59">
        <f t="shared" si="34"/>
        <v>43</v>
      </c>
      <c r="V378" s="59">
        <f t="shared" si="35"/>
        <v>2810</v>
      </c>
      <c r="W378" s="59">
        <f t="shared" si="36"/>
        <v>1765.4</v>
      </c>
      <c r="X378" s="60">
        <f t="shared" si="37"/>
        <v>2.142501245640259</v>
      </c>
      <c r="AC378" s="53"/>
      <c r="AL378" s="65">
        <f>_xlfn.IFERROR(INDEX('Tabela PW'!$T:$T,'Słownik PW'!C378,1),"")</f>
        <v>43</v>
      </c>
    </row>
    <row r="379" spans="1:38" ht="15">
      <c r="A379" s="4" t="s">
        <v>376</v>
      </c>
      <c r="B379" s="5" t="s">
        <v>682</v>
      </c>
      <c r="C379" s="49" t="s">
        <v>388</v>
      </c>
      <c r="D379" s="349">
        <f t="shared" si="33"/>
        <v>121</v>
      </c>
      <c r="E379" s="350" t="s">
        <v>1084</v>
      </c>
      <c r="F379" s="51" t="s">
        <v>156</v>
      </c>
      <c r="G379" s="351" t="s">
        <v>705</v>
      </c>
      <c r="H379" s="351" t="s">
        <v>2134</v>
      </c>
      <c r="I379" s="351" t="s">
        <v>2135</v>
      </c>
      <c r="J379" s="351" t="s">
        <v>4078</v>
      </c>
      <c r="K379" s="354">
        <v>97151</v>
      </c>
      <c r="L379" s="355">
        <v>78670</v>
      </c>
      <c r="M379" s="354">
        <v>80396</v>
      </c>
      <c r="N379" s="355">
        <v>73435</v>
      </c>
      <c r="O379" s="355">
        <v>83393</v>
      </c>
      <c r="P379" s="355">
        <v>79505</v>
      </c>
      <c r="Q379" s="355">
        <v>77512</v>
      </c>
      <c r="R379" s="355">
        <v>85798</v>
      </c>
      <c r="S379" s="355">
        <v>87105</v>
      </c>
      <c r="T379" s="355">
        <v>82673</v>
      </c>
      <c r="U379" s="59">
        <f t="shared" si="34"/>
        <v>73435</v>
      </c>
      <c r="V379" s="59">
        <f t="shared" si="35"/>
        <v>97151</v>
      </c>
      <c r="W379" s="59">
        <f t="shared" si="36"/>
        <v>82563.8</v>
      </c>
      <c r="X379" s="60">
        <f t="shared" si="37"/>
        <v>85.09742565696699</v>
      </c>
      <c r="AC379" s="53"/>
      <c r="AL379" s="65">
        <f>_xlfn.IFERROR(INDEX('Tabela PW'!$T:$T,'Słownik PW'!C379,1),"")</f>
        <v>82673</v>
      </c>
    </row>
    <row r="380" spans="1:38" ht="15">
      <c r="A380" s="4" t="s">
        <v>376</v>
      </c>
      <c r="B380" s="5" t="s">
        <v>682</v>
      </c>
      <c r="C380" s="49" t="s">
        <v>389</v>
      </c>
      <c r="D380" s="349">
        <f t="shared" si="33"/>
        <v>153</v>
      </c>
      <c r="E380" s="350" t="s">
        <v>1085</v>
      </c>
      <c r="F380" s="51" t="s">
        <v>156</v>
      </c>
      <c r="G380" s="351" t="s">
        <v>705</v>
      </c>
      <c r="H380" s="351" t="s">
        <v>2136</v>
      </c>
      <c r="I380" s="351" t="s">
        <v>2137</v>
      </c>
      <c r="J380" s="351" t="s">
        <v>4079</v>
      </c>
      <c r="K380" s="354">
        <v>22930</v>
      </c>
      <c r="L380" s="355">
        <v>24729</v>
      </c>
      <c r="M380" s="354">
        <v>24123</v>
      </c>
      <c r="N380" s="355">
        <v>22695</v>
      </c>
      <c r="O380" s="355">
        <v>23150</v>
      </c>
      <c r="P380" s="355">
        <v>23299</v>
      </c>
      <c r="Q380" s="355">
        <v>20882</v>
      </c>
      <c r="R380" s="355">
        <v>21232</v>
      </c>
      <c r="S380" s="355">
        <v>15456</v>
      </c>
      <c r="T380" s="355">
        <v>15680</v>
      </c>
      <c r="U380" s="59">
        <f t="shared" si="34"/>
        <v>15456</v>
      </c>
      <c r="V380" s="59">
        <f t="shared" si="35"/>
        <v>24729</v>
      </c>
      <c r="W380" s="59">
        <f t="shared" si="36"/>
        <v>21417.6</v>
      </c>
      <c r="X380" s="60">
        <f t="shared" si="37"/>
        <v>68.38203227213258</v>
      </c>
      <c r="AC380" s="53"/>
      <c r="AL380" s="65">
        <f>_xlfn.IFERROR(INDEX('Tabela PW'!$T:$T,'Słownik PW'!C380,1),"")</f>
        <v>15680</v>
      </c>
    </row>
    <row r="381" spans="1:38" ht="15">
      <c r="A381" s="4" t="s">
        <v>376</v>
      </c>
      <c r="B381" s="5" t="s">
        <v>682</v>
      </c>
      <c r="C381" s="49" t="s">
        <v>390</v>
      </c>
      <c r="D381" s="349">
        <f t="shared" si="33"/>
        <v>51</v>
      </c>
      <c r="E381" s="350" t="s">
        <v>1086</v>
      </c>
      <c r="F381" s="51" t="s">
        <v>25</v>
      </c>
      <c r="G381" s="351" t="s">
        <v>683</v>
      </c>
      <c r="H381" s="351" t="s">
        <v>2138</v>
      </c>
      <c r="I381" s="351" t="s">
        <v>2139</v>
      </c>
      <c r="J381" s="351" t="s">
        <v>4080</v>
      </c>
      <c r="K381" s="354">
        <v>54256</v>
      </c>
      <c r="L381" s="355">
        <v>62738</v>
      </c>
      <c r="M381" s="354">
        <v>61291</v>
      </c>
      <c r="N381" s="355">
        <v>64184</v>
      </c>
      <c r="O381" s="355">
        <v>67985</v>
      </c>
      <c r="P381" s="355">
        <v>76161</v>
      </c>
      <c r="Q381" s="355">
        <v>81591</v>
      </c>
      <c r="R381" s="355">
        <v>97861</v>
      </c>
      <c r="S381" s="355">
        <v>73959</v>
      </c>
      <c r="T381" s="355">
        <v>66062</v>
      </c>
      <c r="U381" s="59">
        <f t="shared" si="34"/>
        <v>54256</v>
      </c>
      <c r="V381" s="59">
        <f t="shared" si="35"/>
        <v>97861</v>
      </c>
      <c r="W381" s="59">
        <f t="shared" si="36"/>
        <v>70608.8</v>
      </c>
      <c r="X381" s="60">
        <f t="shared" si="37"/>
        <v>121.75980536714835</v>
      </c>
      <c r="AC381" s="53"/>
      <c r="AL381" s="65">
        <f>_xlfn.IFERROR(INDEX('Tabela PW'!$T:$T,'Słownik PW'!C381,1),"")</f>
        <v>66062</v>
      </c>
    </row>
    <row r="382" spans="1:38" ht="15">
      <c r="A382" s="4" t="s">
        <v>376</v>
      </c>
      <c r="B382" s="5" t="s">
        <v>682</v>
      </c>
      <c r="C382" s="49" t="s">
        <v>391</v>
      </c>
      <c r="D382" s="349">
        <f t="shared" si="33"/>
        <v>54</v>
      </c>
      <c r="E382" s="350" t="s">
        <v>1087</v>
      </c>
      <c r="F382" s="51" t="s">
        <v>25</v>
      </c>
      <c r="G382" s="351" t="s">
        <v>683</v>
      </c>
      <c r="H382" s="351" t="s">
        <v>2140</v>
      </c>
      <c r="I382" s="351" t="s">
        <v>2141</v>
      </c>
      <c r="J382" s="351" t="s">
        <v>4081</v>
      </c>
      <c r="K382" s="354">
        <v>25323</v>
      </c>
      <c r="L382" s="355">
        <v>27640</v>
      </c>
      <c r="M382" s="354">
        <v>29423</v>
      </c>
      <c r="N382" s="355">
        <v>35575</v>
      </c>
      <c r="O382" s="355">
        <v>33598</v>
      </c>
      <c r="P382" s="355">
        <v>38317</v>
      </c>
      <c r="Q382" s="355">
        <v>42224</v>
      </c>
      <c r="R382" s="355">
        <v>49606</v>
      </c>
      <c r="S382" s="355">
        <v>40841</v>
      </c>
      <c r="T382" s="355">
        <v>39381</v>
      </c>
      <c r="U382" s="59">
        <f t="shared" si="34"/>
        <v>25323</v>
      </c>
      <c r="V382" s="59">
        <f t="shared" si="35"/>
        <v>49606</v>
      </c>
      <c r="W382" s="59">
        <f t="shared" si="36"/>
        <v>36192.8</v>
      </c>
      <c r="X382" s="60">
        <f t="shared" si="37"/>
        <v>155.51474943727047</v>
      </c>
      <c r="AC382" s="53"/>
      <c r="AL382" s="65">
        <f>_xlfn.IFERROR(INDEX('Tabela PW'!$T:$T,'Słownik PW'!C382,1),"")</f>
        <v>39381</v>
      </c>
    </row>
    <row r="383" spans="1:38" ht="15">
      <c r="A383" s="4" t="s">
        <v>376</v>
      </c>
      <c r="B383" s="5" t="s">
        <v>682</v>
      </c>
      <c r="C383" s="49" t="s">
        <v>392</v>
      </c>
      <c r="D383" s="349">
        <f t="shared" si="33"/>
        <v>109</v>
      </c>
      <c r="E383" s="350" t="s">
        <v>1088</v>
      </c>
      <c r="F383" s="51" t="s">
        <v>25</v>
      </c>
      <c r="G383" s="351" t="s">
        <v>683</v>
      </c>
      <c r="H383" s="351" t="s">
        <v>2142</v>
      </c>
      <c r="I383" s="351" t="s">
        <v>2143</v>
      </c>
      <c r="J383" s="351" t="s">
        <v>4082</v>
      </c>
      <c r="K383" s="354">
        <v>17433</v>
      </c>
      <c r="L383" s="355">
        <v>19551</v>
      </c>
      <c r="M383" s="354">
        <v>20574</v>
      </c>
      <c r="N383" s="355">
        <v>23413</v>
      </c>
      <c r="O383" s="355">
        <v>20309</v>
      </c>
      <c r="P383" s="355">
        <v>11854</v>
      </c>
      <c r="Q383" s="355">
        <v>11112</v>
      </c>
      <c r="R383" s="355">
        <v>10629</v>
      </c>
      <c r="S383" s="355">
        <v>9181</v>
      </c>
      <c r="T383" s="355">
        <v>4666</v>
      </c>
      <c r="U383" s="59">
        <f t="shared" si="34"/>
        <v>4666</v>
      </c>
      <c r="V383" s="59">
        <f t="shared" si="35"/>
        <v>23413</v>
      </c>
      <c r="W383" s="59">
        <f t="shared" si="36"/>
        <v>14872.2</v>
      </c>
      <c r="X383" s="60">
        <f t="shared" si="37"/>
        <v>26.76533012103482</v>
      </c>
      <c r="AC383" s="53"/>
      <c r="AL383" s="65">
        <f>_xlfn.IFERROR(INDEX('Tabela PW'!$T:$T,'Słownik PW'!C383,1),"")</f>
        <v>4666</v>
      </c>
    </row>
    <row r="384" spans="1:38" ht="15">
      <c r="A384" s="4" t="s">
        <v>376</v>
      </c>
      <c r="B384" s="5" t="s">
        <v>682</v>
      </c>
      <c r="C384" s="49" t="s">
        <v>393</v>
      </c>
      <c r="D384" s="349">
        <f t="shared" si="33"/>
        <v>217</v>
      </c>
      <c r="E384" s="350" t="s">
        <v>1089</v>
      </c>
      <c r="F384" s="51" t="s">
        <v>25</v>
      </c>
      <c r="G384" s="351" t="s">
        <v>683</v>
      </c>
      <c r="H384" s="351" t="s">
        <v>2144</v>
      </c>
      <c r="I384" s="351" t="s">
        <v>2145</v>
      </c>
      <c r="J384" s="351" t="s">
        <v>4083</v>
      </c>
      <c r="K384" s="354">
        <v>51303</v>
      </c>
      <c r="L384" s="355">
        <v>53094</v>
      </c>
      <c r="M384" s="354">
        <v>48439</v>
      </c>
      <c r="N384" s="355">
        <v>45756</v>
      </c>
      <c r="O384" s="355">
        <v>46905</v>
      </c>
      <c r="P384" s="355">
        <v>48634</v>
      </c>
      <c r="Q384" s="355">
        <v>50387</v>
      </c>
      <c r="R384" s="355">
        <v>54137</v>
      </c>
      <c r="S384" s="355">
        <v>65354</v>
      </c>
      <c r="T384" s="355">
        <v>50795</v>
      </c>
      <c r="U384" s="59">
        <f t="shared" si="34"/>
        <v>45756</v>
      </c>
      <c r="V384" s="59">
        <f t="shared" si="35"/>
        <v>65354</v>
      </c>
      <c r="W384" s="59">
        <f t="shared" si="36"/>
        <v>51480.4</v>
      </c>
      <c r="X384" s="60">
        <f t="shared" si="37"/>
        <v>99.00980449486386</v>
      </c>
      <c r="AC384" s="53"/>
      <c r="AL384" s="65">
        <f>_xlfn.IFERROR(INDEX('Tabela PW'!$T:$T,'Słownik PW'!C384,1),"")</f>
        <v>50795</v>
      </c>
    </row>
    <row r="385" spans="1:38" ht="15">
      <c r="A385" s="4" t="s">
        <v>376</v>
      </c>
      <c r="B385" s="5" t="s">
        <v>682</v>
      </c>
      <c r="C385" s="49" t="s">
        <v>394</v>
      </c>
      <c r="D385" s="349">
        <f t="shared" si="33"/>
        <v>214</v>
      </c>
      <c r="E385" s="350" t="s">
        <v>1090</v>
      </c>
      <c r="F385" s="51" t="s">
        <v>25</v>
      </c>
      <c r="G385" s="351" t="s">
        <v>683</v>
      </c>
      <c r="H385" s="351" t="s">
        <v>2146</v>
      </c>
      <c r="I385" s="351" t="s">
        <v>2147</v>
      </c>
      <c r="J385" s="351" t="s">
        <v>4084</v>
      </c>
      <c r="K385" s="354">
        <v>37438</v>
      </c>
      <c r="L385" s="355">
        <v>40436</v>
      </c>
      <c r="M385" s="354">
        <v>47271</v>
      </c>
      <c r="N385" s="355">
        <v>50217</v>
      </c>
      <c r="O385" s="355">
        <v>47823</v>
      </c>
      <c r="P385" s="355">
        <v>46190</v>
      </c>
      <c r="Q385" s="355">
        <v>40569</v>
      </c>
      <c r="R385" s="355">
        <v>42476</v>
      </c>
      <c r="S385" s="355">
        <v>37561</v>
      </c>
      <c r="T385" s="355">
        <v>33889</v>
      </c>
      <c r="U385" s="59">
        <f t="shared" si="34"/>
        <v>33889</v>
      </c>
      <c r="V385" s="59">
        <f t="shared" si="35"/>
        <v>50217</v>
      </c>
      <c r="W385" s="59">
        <f t="shared" si="36"/>
        <v>42387</v>
      </c>
      <c r="X385" s="60">
        <f t="shared" si="37"/>
        <v>90.5203269405417</v>
      </c>
      <c r="AC385" s="53"/>
      <c r="AL385" s="65">
        <f>_xlfn.IFERROR(INDEX('Tabela PW'!$T:$T,'Słownik PW'!C385,1),"")</f>
        <v>33889</v>
      </c>
    </row>
    <row r="386" spans="1:38" ht="15">
      <c r="A386" s="4" t="s">
        <v>376</v>
      </c>
      <c r="B386" s="5" t="s">
        <v>682</v>
      </c>
      <c r="C386" s="49" t="s">
        <v>395</v>
      </c>
      <c r="D386" s="349">
        <f aca="true" t="shared" si="38" ref="D386:D449">LEN(C386)</f>
        <v>36</v>
      </c>
      <c r="E386" s="350" t="s">
        <v>1091</v>
      </c>
      <c r="F386" s="51" t="s">
        <v>146</v>
      </c>
      <c r="G386" s="351" t="s">
        <v>703</v>
      </c>
      <c r="H386" s="351" t="s">
        <v>2148</v>
      </c>
      <c r="I386" s="351" t="s">
        <v>2149</v>
      </c>
      <c r="J386" s="351" t="s">
        <v>4085</v>
      </c>
      <c r="K386" s="354">
        <v>104947</v>
      </c>
      <c r="L386" s="355">
        <v>115703</v>
      </c>
      <c r="M386" s="354">
        <v>108267</v>
      </c>
      <c r="N386" s="355">
        <v>113626</v>
      </c>
      <c r="O386" s="355">
        <v>110466</v>
      </c>
      <c r="P386" s="355">
        <v>120314</v>
      </c>
      <c r="Q386" s="355">
        <v>118625</v>
      </c>
      <c r="R386" s="355">
        <v>119046</v>
      </c>
      <c r="S386" s="355">
        <v>118225</v>
      </c>
      <c r="T386" s="355">
        <v>115747</v>
      </c>
      <c r="U386" s="59">
        <f t="shared" si="34"/>
        <v>104947</v>
      </c>
      <c r="V386" s="59">
        <f t="shared" si="35"/>
        <v>120314</v>
      </c>
      <c r="W386" s="59">
        <f t="shared" si="36"/>
        <v>114496.6</v>
      </c>
      <c r="X386" s="60">
        <f t="shared" si="37"/>
        <v>110.29090874441385</v>
      </c>
      <c r="AC386" s="53"/>
      <c r="AL386" s="65">
        <f>_xlfn.IFERROR(INDEX('Tabela PW'!$T:$T,'Słownik PW'!C386,1),"")</f>
        <v>115747</v>
      </c>
    </row>
    <row r="387" spans="1:38" ht="15">
      <c r="A387" s="4" t="s">
        <v>376</v>
      </c>
      <c r="B387" s="5" t="s">
        <v>682</v>
      </c>
      <c r="C387" s="49" t="s">
        <v>396</v>
      </c>
      <c r="D387" s="349">
        <f t="shared" si="38"/>
        <v>113</v>
      </c>
      <c r="E387" s="350" t="s">
        <v>1092</v>
      </c>
      <c r="F387" s="51" t="s">
        <v>146</v>
      </c>
      <c r="G387" s="351" t="s">
        <v>703</v>
      </c>
      <c r="H387" s="351" t="s">
        <v>2150</v>
      </c>
      <c r="I387" s="351" t="s">
        <v>2151</v>
      </c>
      <c r="J387" s="351" t="s">
        <v>4086</v>
      </c>
      <c r="K387" s="354">
        <v>46027</v>
      </c>
      <c r="L387" s="355">
        <v>48392</v>
      </c>
      <c r="M387" s="354">
        <v>47662</v>
      </c>
      <c r="N387" s="355">
        <v>42918</v>
      </c>
      <c r="O387" s="355">
        <v>40604</v>
      </c>
      <c r="P387" s="355">
        <v>41526</v>
      </c>
      <c r="Q387" s="355">
        <v>39621</v>
      </c>
      <c r="R387" s="355">
        <v>41984</v>
      </c>
      <c r="S387" s="355">
        <v>43473</v>
      </c>
      <c r="T387" s="355">
        <v>40086</v>
      </c>
      <c r="U387" s="59">
        <f aca="true" t="shared" si="39" ref="U387:U450">MIN(K387:T387)</f>
        <v>39621</v>
      </c>
      <c r="V387" s="59">
        <f aca="true" t="shared" si="40" ref="V387:V450">MAX(K387:T387)</f>
        <v>48392</v>
      </c>
      <c r="W387" s="59">
        <f aca="true" t="shared" si="41" ref="W387:W450">AVERAGE(K387:T387)</f>
        <v>43229.3</v>
      </c>
      <c r="X387" s="60">
        <f aca="true" t="shared" si="42" ref="X387:X450">_xlfn.IFERROR(T387/K387*100,"-")</f>
        <v>87.09235883285898</v>
      </c>
      <c r="AC387" s="53"/>
      <c r="AL387" s="65">
        <f>_xlfn.IFERROR(INDEX('Tabela PW'!$T:$T,'Słownik PW'!C387,1),"")</f>
        <v>40086</v>
      </c>
    </row>
    <row r="388" spans="1:38" ht="15">
      <c r="A388" s="4" t="s">
        <v>376</v>
      </c>
      <c r="B388" s="5" t="s">
        <v>682</v>
      </c>
      <c r="C388" s="49" t="s">
        <v>397</v>
      </c>
      <c r="D388" s="349">
        <f t="shared" si="38"/>
        <v>139</v>
      </c>
      <c r="E388" s="350" t="s">
        <v>1093</v>
      </c>
      <c r="F388" s="51" t="s">
        <v>146</v>
      </c>
      <c r="G388" s="351" t="s">
        <v>703</v>
      </c>
      <c r="H388" s="351" t="s">
        <v>2152</v>
      </c>
      <c r="I388" s="351" t="s">
        <v>2153</v>
      </c>
      <c r="J388" s="351" t="s">
        <v>4087</v>
      </c>
      <c r="K388" s="354">
        <v>25456</v>
      </c>
      <c r="L388" s="355">
        <v>30463</v>
      </c>
      <c r="M388" s="354">
        <v>28433</v>
      </c>
      <c r="N388" s="355">
        <v>37997</v>
      </c>
      <c r="O388" s="355">
        <v>36926</v>
      </c>
      <c r="P388" s="355">
        <v>47178</v>
      </c>
      <c r="Q388" s="355">
        <v>48219</v>
      </c>
      <c r="R388" s="355">
        <v>44259</v>
      </c>
      <c r="S388" s="355">
        <v>47070</v>
      </c>
      <c r="T388" s="355">
        <v>48288</v>
      </c>
      <c r="U388" s="59">
        <f t="shared" si="39"/>
        <v>25456</v>
      </c>
      <c r="V388" s="59">
        <f t="shared" si="40"/>
        <v>48288</v>
      </c>
      <c r="W388" s="59">
        <f t="shared" si="41"/>
        <v>39428.9</v>
      </c>
      <c r="X388" s="60">
        <f t="shared" si="42"/>
        <v>189.69201759899434</v>
      </c>
      <c r="AC388" s="53"/>
      <c r="AL388" s="65">
        <f>_xlfn.IFERROR(INDEX('Tabela PW'!$T:$T,'Słownik PW'!C388,1),"")</f>
        <v>48288</v>
      </c>
    </row>
    <row r="389" spans="1:38" ht="15">
      <c r="A389" s="4" t="s">
        <v>376</v>
      </c>
      <c r="B389" s="5" t="s">
        <v>682</v>
      </c>
      <c r="C389" s="49" t="s">
        <v>398</v>
      </c>
      <c r="D389" s="349">
        <f t="shared" si="38"/>
        <v>230</v>
      </c>
      <c r="E389" s="350" t="s">
        <v>1094</v>
      </c>
      <c r="F389" s="51" t="s">
        <v>146</v>
      </c>
      <c r="G389" s="351" t="s">
        <v>703</v>
      </c>
      <c r="H389" s="351" t="s">
        <v>2154</v>
      </c>
      <c r="I389" s="351" t="s">
        <v>2155</v>
      </c>
      <c r="J389" s="351" t="s">
        <v>4088</v>
      </c>
      <c r="K389" s="354">
        <v>8431</v>
      </c>
      <c r="L389" s="355">
        <v>7743</v>
      </c>
      <c r="M389" s="354">
        <v>5697</v>
      </c>
      <c r="N389" s="355">
        <v>5817</v>
      </c>
      <c r="O389" s="355">
        <v>7652</v>
      </c>
      <c r="P389" s="355">
        <v>7964</v>
      </c>
      <c r="Q389" s="355">
        <v>7240</v>
      </c>
      <c r="R389" s="355">
        <v>10183</v>
      </c>
      <c r="S389" s="355">
        <v>11372</v>
      </c>
      <c r="T389" s="355">
        <v>12312</v>
      </c>
      <c r="U389" s="59">
        <f t="shared" si="39"/>
        <v>5697</v>
      </c>
      <c r="V389" s="59">
        <f t="shared" si="40"/>
        <v>12312</v>
      </c>
      <c r="W389" s="59">
        <f t="shared" si="41"/>
        <v>8441.1</v>
      </c>
      <c r="X389" s="60">
        <f t="shared" si="42"/>
        <v>146.03249911042582</v>
      </c>
      <c r="AC389" s="53"/>
      <c r="AL389" s="65">
        <f>_xlfn.IFERROR(INDEX('Tabela PW'!$T:$T,'Słownik PW'!C389,1),"")</f>
        <v>12312</v>
      </c>
    </row>
    <row r="390" spans="1:38" ht="15">
      <c r="A390" s="4" t="s">
        <v>376</v>
      </c>
      <c r="B390" s="5" t="s">
        <v>682</v>
      </c>
      <c r="C390" s="49" t="s">
        <v>399</v>
      </c>
      <c r="D390" s="349">
        <f t="shared" si="38"/>
        <v>12</v>
      </c>
      <c r="E390" s="350" t="s">
        <v>1095</v>
      </c>
      <c r="F390" s="51" t="s">
        <v>400</v>
      </c>
      <c r="G390" s="351" t="s">
        <v>702</v>
      </c>
      <c r="H390" s="351" t="s">
        <v>2156</v>
      </c>
      <c r="I390" s="351" t="s">
        <v>2157</v>
      </c>
      <c r="J390" s="351" t="s">
        <v>4089</v>
      </c>
      <c r="K390" s="354">
        <v>480185</v>
      </c>
      <c r="L390" s="355">
        <v>543275</v>
      </c>
      <c r="M390" s="354">
        <v>472667</v>
      </c>
      <c r="N390" s="355">
        <v>396578</v>
      </c>
      <c r="O390" s="355">
        <v>441554</v>
      </c>
      <c r="P390" s="355">
        <v>506317</v>
      </c>
      <c r="Q390" s="355">
        <v>596422</v>
      </c>
      <c r="R390" s="355">
        <v>620413</v>
      </c>
      <c r="S390" s="355">
        <v>676542</v>
      </c>
      <c r="T390" s="355">
        <v>667651</v>
      </c>
      <c r="U390" s="59">
        <f t="shared" si="39"/>
        <v>396578</v>
      </c>
      <c r="V390" s="59">
        <f t="shared" si="40"/>
        <v>676542</v>
      </c>
      <c r="W390" s="59">
        <f t="shared" si="41"/>
        <v>540160.4</v>
      </c>
      <c r="X390" s="60">
        <f t="shared" si="42"/>
        <v>139.0403698574508</v>
      </c>
      <c r="AC390" s="53"/>
      <c r="AL390" s="65">
        <f>_xlfn.IFERROR(INDEX('Tabela PW'!$T:$T,'Słownik PW'!C390,1),"")</f>
        <v>667651</v>
      </c>
    </row>
    <row r="391" spans="1:38" ht="15">
      <c r="A391" s="4" t="s">
        <v>376</v>
      </c>
      <c r="B391" s="5" t="s">
        <v>682</v>
      </c>
      <c r="C391" s="49" t="s">
        <v>401</v>
      </c>
      <c r="D391" s="349">
        <f t="shared" si="38"/>
        <v>126</v>
      </c>
      <c r="E391" s="350" t="s">
        <v>1096</v>
      </c>
      <c r="F391" s="51" t="s">
        <v>400</v>
      </c>
      <c r="G391" s="351" t="s">
        <v>702</v>
      </c>
      <c r="H391" s="351" t="s">
        <v>2158</v>
      </c>
      <c r="I391" s="351" t="s">
        <v>2159</v>
      </c>
      <c r="J391" s="351" t="s">
        <v>4090</v>
      </c>
      <c r="K391" s="354">
        <v>1864918</v>
      </c>
      <c r="L391" s="355">
        <v>1952870</v>
      </c>
      <c r="M391" s="354">
        <v>1687999</v>
      </c>
      <c r="N391" s="355">
        <v>1576617</v>
      </c>
      <c r="O391" s="355">
        <v>1597726</v>
      </c>
      <c r="P391" s="355">
        <v>1568173</v>
      </c>
      <c r="Q391" s="355">
        <v>1690818</v>
      </c>
      <c r="R391" s="355">
        <v>1728402</v>
      </c>
      <c r="S391" s="355">
        <v>1804572</v>
      </c>
      <c r="T391" s="355">
        <v>1751998</v>
      </c>
      <c r="U391" s="59">
        <f t="shared" si="39"/>
        <v>1568173</v>
      </c>
      <c r="V391" s="59">
        <f t="shared" si="40"/>
        <v>1952870</v>
      </c>
      <c r="W391" s="59">
        <f t="shared" si="41"/>
        <v>1722409.3</v>
      </c>
      <c r="X391" s="60">
        <f t="shared" si="42"/>
        <v>93.94504208764138</v>
      </c>
      <c r="AC391" s="53"/>
      <c r="AL391" s="65">
        <f>_xlfn.IFERROR(INDEX('Tabela PW'!$T:$T,'Słownik PW'!C391,1),"")</f>
        <v>1751998</v>
      </c>
    </row>
    <row r="392" spans="1:38" ht="15">
      <c r="A392" s="4" t="s">
        <v>376</v>
      </c>
      <c r="B392" s="5" t="s">
        <v>682</v>
      </c>
      <c r="C392" s="49" t="s">
        <v>402</v>
      </c>
      <c r="D392" s="349">
        <f t="shared" si="38"/>
        <v>22</v>
      </c>
      <c r="E392" s="350" t="s">
        <v>1097</v>
      </c>
      <c r="F392" s="51" t="s">
        <v>400</v>
      </c>
      <c r="G392" s="351" t="s">
        <v>702</v>
      </c>
      <c r="H392" s="351" t="s">
        <v>2160</v>
      </c>
      <c r="I392" s="351" t="s">
        <v>2161</v>
      </c>
      <c r="J392" s="351" t="s">
        <v>4091</v>
      </c>
      <c r="K392" s="354">
        <v>237661</v>
      </c>
      <c r="L392" s="355">
        <v>240623</v>
      </c>
      <c r="M392" s="354">
        <v>184858</v>
      </c>
      <c r="N392" s="355">
        <v>131158</v>
      </c>
      <c r="O392" s="355">
        <v>140413</v>
      </c>
      <c r="P392" s="355">
        <v>103864</v>
      </c>
      <c r="Q392" s="355">
        <v>113034</v>
      </c>
      <c r="R392" s="355">
        <v>97573</v>
      </c>
      <c r="S392" s="355">
        <v>93731</v>
      </c>
      <c r="T392" s="355">
        <v>93272</v>
      </c>
      <c r="U392" s="59">
        <f t="shared" si="39"/>
        <v>93272</v>
      </c>
      <c r="V392" s="59">
        <f t="shared" si="40"/>
        <v>240623</v>
      </c>
      <c r="W392" s="59">
        <f t="shared" si="41"/>
        <v>143618.7</v>
      </c>
      <c r="X392" s="60">
        <f t="shared" si="42"/>
        <v>39.245816520169484</v>
      </c>
      <c r="AC392" s="53"/>
      <c r="AL392" s="65">
        <f>_xlfn.IFERROR(INDEX('Tabela PW'!$T:$T,'Słownik PW'!C392,1),"")</f>
        <v>93272</v>
      </c>
    </row>
    <row r="393" spans="1:38" ht="15">
      <c r="A393" s="4" t="s">
        <v>376</v>
      </c>
      <c r="B393" s="5" t="s">
        <v>682</v>
      </c>
      <c r="C393" s="49" t="s">
        <v>403</v>
      </c>
      <c r="D393" s="349">
        <f t="shared" si="38"/>
        <v>26</v>
      </c>
      <c r="E393" s="350" t="s">
        <v>1098</v>
      </c>
      <c r="F393" s="51" t="s">
        <v>400</v>
      </c>
      <c r="G393" s="351" t="s">
        <v>702</v>
      </c>
      <c r="H393" s="351" t="s">
        <v>2162</v>
      </c>
      <c r="I393" s="351" t="s">
        <v>2163</v>
      </c>
      <c r="J393" s="351" t="s">
        <v>4092</v>
      </c>
      <c r="K393" s="354">
        <v>1574503</v>
      </c>
      <c r="L393" s="355">
        <v>1662089</v>
      </c>
      <c r="M393" s="354">
        <v>1468878</v>
      </c>
      <c r="N393" s="355">
        <v>1423356</v>
      </c>
      <c r="O393" s="355">
        <v>1425638</v>
      </c>
      <c r="P393" s="355">
        <v>1440465</v>
      </c>
      <c r="Q393" s="355">
        <v>1554576</v>
      </c>
      <c r="R393" s="355">
        <v>1608058</v>
      </c>
      <c r="S393" s="355">
        <v>1686136</v>
      </c>
      <c r="T393" s="355">
        <v>1653155</v>
      </c>
      <c r="U393" s="59">
        <f t="shared" si="39"/>
        <v>1423356</v>
      </c>
      <c r="V393" s="59">
        <f t="shared" si="40"/>
        <v>1686136</v>
      </c>
      <c r="W393" s="59">
        <f t="shared" si="41"/>
        <v>1549685.4</v>
      </c>
      <c r="X393" s="60">
        <f t="shared" si="42"/>
        <v>104.99535408951269</v>
      </c>
      <c r="AC393" s="53"/>
      <c r="AL393" s="65">
        <f>_xlfn.IFERROR(INDEX('Tabela PW'!$T:$T,'Słownik PW'!C393,1),"")</f>
        <v>1653155</v>
      </c>
    </row>
    <row r="394" spans="1:38" ht="15">
      <c r="A394" s="4" t="s">
        <v>376</v>
      </c>
      <c r="B394" s="5" t="s">
        <v>682</v>
      </c>
      <c r="C394" s="49" t="s">
        <v>404</v>
      </c>
      <c r="D394" s="349">
        <f t="shared" si="38"/>
        <v>28</v>
      </c>
      <c r="E394" s="350" t="s">
        <v>1099</v>
      </c>
      <c r="F394" s="51" t="s">
        <v>156</v>
      </c>
      <c r="G394" s="351" t="s">
        <v>705</v>
      </c>
      <c r="H394" s="351" t="s">
        <v>2164</v>
      </c>
      <c r="I394" s="351" t="s">
        <v>2165</v>
      </c>
      <c r="J394" s="351" t="s">
        <v>4093</v>
      </c>
      <c r="K394" s="354">
        <v>6490</v>
      </c>
      <c r="L394" s="355">
        <v>6453</v>
      </c>
      <c r="M394" s="354">
        <v>3661</v>
      </c>
      <c r="N394" s="355">
        <v>2697</v>
      </c>
      <c r="O394" s="355">
        <v>2087</v>
      </c>
      <c r="P394" s="355">
        <v>1255</v>
      </c>
      <c r="Q394" s="355">
        <v>1141</v>
      </c>
      <c r="R394" s="355">
        <v>1131</v>
      </c>
      <c r="S394" s="355">
        <v>2949</v>
      </c>
      <c r="T394" s="355">
        <v>1297</v>
      </c>
      <c r="U394" s="59">
        <f t="shared" si="39"/>
        <v>1131</v>
      </c>
      <c r="V394" s="59">
        <f t="shared" si="40"/>
        <v>6490</v>
      </c>
      <c r="W394" s="59">
        <f t="shared" si="41"/>
        <v>2916.1</v>
      </c>
      <c r="X394" s="60">
        <f t="shared" si="42"/>
        <v>19.984591679506934</v>
      </c>
      <c r="AC394" s="53"/>
      <c r="AL394" s="65">
        <f>_xlfn.IFERROR(INDEX('Tabela PW'!$T:$T,'Słownik PW'!C394,1),"")</f>
        <v>1297</v>
      </c>
    </row>
    <row r="395" spans="1:38" ht="15">
      <c r="A395" s="4" t="s">
        <v>376</v>
      </c>
      <c r="B395" s="5" t="s">
        <v>682</v>
      </c>
      <c r="C395" s="49" t="s">
        <v>405</v>
      </c>
      <c r="D395" s="349">
        <f t="shared" si="38"/>
        <v>64</v>
      </c>
      <c r="E395" s="350" t="s">
        <v>1100</v>
      </c>
      <c r="F395" s="51" t="s">
        <v>156</v>
      </c>
      <c r="G395" s="351" t="s">
        <v>705</v>
      </c>
      <c r="H395" s="351" t="s">
        <v>2166</v>
      </c>
      <c r="I395" s="351" t="s">
        <v>2167</v>
      </c>
      <c r="J395" s="351" t="s">
        <v>4094</v>
      </c>
      <c r="K395" s="354">
        <v>159019</v>
      </c>
      <c r="L395" s="355">
        <v>162058</v>
      </c>
      <c r="M395" s="354">
        <v>151783</v>
      </c>
      <c r="N395" s="355">
        <v>141956</v>
      </c>
      <c r="O395" s="355">
        <v>144935</v>
      </c>
      <c r="P395" s="355">
        <v>128406</v>
      </c>
      <c r="Q395" s="355">
        <v>135849</v>
      </c>
      <c r="R395" s="355">
        <v>139489</v>
      </c>
      <c r="S395" s="355">
        <v>125551</v>
      </c>
      <c r="T395" s="355">
        <v>127665</v>
      </c>
      <c r="U395" s="59">
        <f t="shared" si="39"/>
        <v>125551</v>
      </c>
      <c r="V395" s="59">
        <f t="shared" si="40"/>
        <v>162058</v>
      </c>
      <c r="W395" s="59">
        <f t="shared" si="41"/>
        <v>141671.1</v>
      </c>
      <c r="X395" s="60">
        <f t="shared" si="42"/>
        <v>80.28285928096642</v>
      </c>
      <c r="AC395" s="53"/>
      <c r="AL395" s="65">
        <f>_xlfn.IFERROR(INDEX('Tabela PW'!$T:$T,'Słownik PW'!C395,1),"")</f>
        <v>127665</v>
      </c>
    </row>
    <row r="396" spans="1:38" ht="15">
      <c r="A396" s="4" t="s">
        <v>376</v>
      </c>
      <c r="B396" s="5" t="s">
        <v>682</v>
      </c>
      <c r="C396" s="49" t="s">
        <v>406</v>
      </c>
      <c r="D396" s="349">
        <f t="shared" si="38"/>
        <v>232</v>
      </c>
      <c r="E396" s="350" t="s">
        <v>1101</v>
      </c>
      <c r="F396" s="51" t="s">
        <v>25</v>
      </c>
      <c r="G396" s="351" t="s">
        <v>683</v>
      </c>
      <c r="H396" s="351" t="s">
        <v>2168</v>
      </c>
      <c r="I396" s="351" t="s">
        <v>2169</v>
      </c>
      <c r="J396" s="351" t="s">
        <v>4095</v>
      </c>
      <c r="K396" s="354">
        <v>33082</v>
      </c>
      <c r="L396" s="355">
        <v>43379</v>
      </c>
      <c r="M396" s="354">
        <v>31185</v>
      </c>
      <c r="N396" s="355">
        <v>25166</v>
      </c>
      <c r="O396" s="355">
        <v>10723</v>
      </c>
      <c r="P396" s="355">
        <v>5486</v>
      </c>
      <c r="Q396" s="355">
        <v>10273</v>
      </c>
      <c r="R396" s="355">
        <v>11344</v>
      </c>
      <c r="S396" s="355">
        <v>11723</v>
      </c>
      <c r="T396" s="355">
        <v>31660</v>
      </c>
      <c r="U396" s="59">
        <f t="shared" si="39"/>
        <v>5486</v>
      </c>
      <c r="V396" s="59">
        <f t="shared" si="40"/>
        <v>43379</v>
      </c>
      <c r="W396" s="59">
        <f t="shared" si="41"/>
        <v>21402.1</v>
      </c>
      <c r="X396" s="60">
        <f t="shared" si="42"/>
        <v>95.70158998851339</v>
      </c>
      <c r="AC396" s="53"/>
      <c r="AL396" s="65">
        <f>_xlfn.IFERROR(INDEX('Tabela PW'!$T:$T,'Słownik PW'!C396,1),"")</f>
        <v>31660</v>
      </c>
    </row>
    <row r="397" spans="1:38" ht="15">
      <c r="A397" s="4" t="s">
        <v>376</v>
      </c>
      <c r="B397" s="5" t="s">
        <v>682</v>
      </c>
      <c r="C397" s="49" t="s">
        <v>407</v>
      </c>
      <c r="D397" s="349">
        <f t="shared" si="38"/>
        <v>50</v>
      </c>
      <c r="E397" s="350" t="s">
        <v>1102</v>
      </c>
      <c r="F397" s="51" t="s">
        <v>25</v>
      </c>
      <c r="G397" s="351" t="s">
        <v>683</v>
      </c>
      <c r="H397" s="351" t="s">
        <v>2170</v>
      </c>
      <c r="I397" s="351" t="s">
        <v>2171</v>
      </c>
      <c r="J397" s="351" t="s">
        <v>4096</v>
      </c>
      <c r="K397" s="354">
        <v>3487</v>
      </c>
      <c r="L397" s="355">
        <v>4000</v>
      </c>
      <c r="M397" s="354">
        <v>3805</v>
      </c>
      <c r="N397" s="355">
        <v>2819</v>
      </c>
      <c r="O397" s="355">
        <v>3803</v>
      </c>
      <c r="P397" s="355">
        <v>348</v>
      </c>
      <c r="Q397" s="355">
        <v>229</v>
      </c>
      <c r="R397" s="355">
        <v>210</v>
      </c>
      <c r="S397" s="355">
        <v>224</v>
      </c>
      <c r="T397" s="355">
        <v>188</v>
      </c>
      <c r="U397" s="59">
        <f t="shared" si="39"/>
        <v>188</v>
      </c>
      <c r="V397" s="59">
        <f t="shared" si="40"/>
        <v>4000</v>
      </c>
      <c r="W397" s="59">
        <f t="shared" si="41"/>
        <v>1911.3</v>
      </c>
      <c r="X397" s="60">
        <f t="shared" si="42"/>
        <v>5.391453971895612</v>
      </c>
      <c r="AC397" s="53"/>
      <c r="AL397" s="65">
        <f>_xlfn.IFERROR(INDEX('Tabela PW'!$T:$T,'Słownik PW'!C397,1),"")</f>
        <v>188</v>
      </c>
    </row>
    <row r="398" spans="1:38" ht="15">
      <c r="A398" s="4" t="s">
        <v>376</v>
      </c>
      <c r="B398" s="5" t="s">
        <v>682</v>
      </c>
      <c r="C398" s="49" t="s">
        <v>408</v>
      </c>
      <c r="D398" s="349">
        <f t="shared" si="38"/>
        <v>28</v>
      </c>
      <c r="E398" s="350" t="s">
        <v>1103</v>
      </c>
      <c r="F398" s="51" t="s">
        <v>156</v>
      </c>
      <c r="G398" s="351" t="s">
        <v>705</v>
      </c>
      <c r="H398" s="351" t="s">
        <v>2172</v>
      </c>
      <c r="I398" s="351" t="s">
        <v>2173</v>
      </c>
      <c r="J398" s="351" t="s">
        <v>4097</v>
      </c>
      <c r="K398" s="354">
        <v>1540</v>
      </c>
      <c r="L398" s="355">
        <v>1069</v>
      </c>
      <c r="M398" s="354">
        <v>897</v>
      </c>
      <c r="N398" s="355">
        <v>1067</v>
      </c>
      <c r="O398" s="355">
        <v>1522</v>
      </c>
      <c r="P398" s="355">
        <v>130</v>
      </c>
      <c r="Q398" s="355">
        <v>87</v>
      </c>
      <c r="R398" s="355">
        <v>92</v>
      </c>
      <c r="S398" s="355">
        <v>224</v>
      </c>
      <c r="T398" s="355">
        <v>188</v>
      </c>
      <c r="U398" s="59">
        <f t="shared" si="39"/>
        <v>87</v>
      </c>
      <c r="V398" s="59">
        <f t="shared" si="40"/>
        <v>1540</v>
      </c>
      <c r="W398" s="59">
        <f t="shared" si="41"/>
        <v>681.6</v>
      </c>
      <c r="X398" s="60">
        <f t="shared" si="42"/>
        <v>12.207792207792208</v>
      </c>
      <c r="AC398" s="53"/>
      <c r="AL398" s="65">
        <f>_xlfn.IFERROR(INDEX('Tabela PW'!$T:$T,'Słownik PW'!C398,1),"")</f>
        <v>188</v>
      </c>
    </row>
    <row r="399" spans="1:38" ht="15">
      <c r="A399" s="4" t="s">
        <v>376</v>
      </c>
      <c r="B399" s="5" t="s">
        <v>682</v>
      </c>
      <c r="C399" s="49" t="s">
        <v>409</v>
      </c>
      <c r="D399" s="349">
        <f t="shared" si="38"/>
        <v>172</v>
      </c>
      <c r="E399" s="350" t="s">
        <v>1104</v>
      </c>
      <c r="F399" s="51" t="s">
        <v>25</v>
      </c>
      <c r="G399" s="351" t="s">
        <v>683</v>
      </c>
      <c r="H399" s="351" t="s">
        <v>2174</v>
      </c>
      <c r="I399" s="351" t="s">
        <v>2175</v>
      </c>
      <c r="J399" s="351" t="s">
        <v>4098</v>
      </c>
      <c r="K399" s="354">
        <v>25486</v>
      </c>
      <c r="L399" s="355">
        <v>23615</v>
      </c>
      <c r="M399" s="354">
        <v>24279</v>
      </c>
      <c r="N399" s="355">
        <v>27815</v>
      </c>
      <c r="O399" s="355">
        <v>24570</v>
      </c>
      <c r="P399" s="355">
        <v>23745</v>
      </c>
      <c r="Q399" s="355">
        <v>24904</v>
      </c>
      <c r="R399" s="355">
        <v>23934</v>
      </c>
      <c r="S399" s="355">
        <v>22956</v>
      </c>
      <c r="T399" s="355">
        <v>21258</v>
      </c>
      <c r="U399" s="59">
        <f t="shared" si="39"/>
        <v>21258</v>
      </c>
      <c r="V399" s="59">
        <f t="shared" si="40"/>
        <v>27815</v>
      </c>
      <c r="W399" s="59">
        <f t="shared" si="41"/>
        <v>24256.2</v>
      </c>
      <c r="X399" s="60">
        <f t="shared" si="42"/>
        <v>83.41049988228832</v>
      </c>
      <c r="AC399" s="53"/>
      <c r="AL399" s="65">
        <f>_xlfn.IFERROR(INDEX('Tabela PW'!$T:$T,'Słownik PW'!C399,1),"")</f>
        <v>21258</v>
      </c>
    </row>
    <row r="400" spans="1:38" ht="15">
      <c r="A400" s="4" t="s">
        <v>376</v>
      </c>
      <c r="B400" s="5" t="s">
        <v>682</v>
      </c>
      <c r="C400" s="49" t="s">
        <v>410</v>
      </c>
      <c r="D400" s="349">
        <f t="shared" si="38"/>
        <v>101</v>
      </c>
      <c r="E400" s="350" t="s">
        <v>1105</v>
      </c>
      <c r="F400" s="51" t="s">
        <v>25</v>
      </c>
      <c r="G400" s="351" t="s">
        <v>683</v>
      </c>
      <c r="H400" s="351" t="s">
        <v>2176</v>
      </c>
      <c r="I400" s="351" t="s">
        <v>2177</v>
      </c>
      <c r="J400" s="351" t="s">
        <v>4099</v>
      </c>
      <c r="K400" s="354">
        <v>648</v>
      </c>
      <c r="L400" s="355">
        <v>579</v>
      </c>
      <c r="M400" s="354">
        <v>624</v>
      </c>
      <c r="N400" s="355">
        <v>731</v>
      </c>
      <c r="O400" s="355">
        <v>758</v>
      </c>
      <c r="P400" s="355">
        <v>830</v>
      </c>
      <c r="Q400" s="355">
        <v>857</v>
      </c>
      <c r="R400" s="355">
        <v>905</v>
      </c>
      <c r="S400" s="355">
        <v>928</v>
      </c>
      <c r="T400" s="355">
        <v>976</v>
      </c>
      <c r="U400" s="59">
        <f t="shared" si="39"/>
        <v>579</v>
      </c>
      <c r="V400" s="59">
        <f t="shared" si="40"/>
        <v>976</v>
      </c>
      <c r="W400" s="59">
        <f t="shared" si="41"/>
        <v>783.6</v>
      </c>
      <c r="X400" s="60">
        <f t="shared" si="42"/>
        <v>150.6172839506173</v>
      </c>
      <c r="AC400" s="53"/>
      <c r="AL400" s="65">
        <f>_xlfn.IFERROR(INDEX('Tabela PW'!$T:$T,'Słownik PW'!C400,1),"")</f>
        <v>976</v>
      </c>
    </row>
    <row r="401" spans="1:38" ht="15">
      <c r="A401" s="4" t="s">
        <v>376</v>
      </c>
      <c r="B401" s="5" t="s">
        <v>682</v>
      </c>
      <c r="C401" s="49" t="s">
        <v>411</v>
      </c>
      <c r="D401" s="349">
        <f t="shared" si="38"/>
        <v>27</v>
      </c>
      <c r="E401" s="350" t="s">
        <v>1106</v>
      </c>
      <c r="F401" s="51" t="s">
        <v>25</v>
      </c>
      <c r="G401" s="351" t="s">
        <v>683</v>
      </c>
      <c r="H401" s="351" t="s">
        <v>2178</v>
      </c>
      <c r="I401" s="351" t="s">
        <v>2179</v>
      </c>
      <c r="J401" s="351" t="s">
        <v>4100</v>
      </c>
      <c r="K401" s="354">
        <v>93760</v>
      </c>
      <c r="L401" s="355">
        <v>93320</v>
      </c>
      <c r="M401" s="354">
        <v>83689</v>
      </c>
      <c r="N401" s="355">
        <v>91426</v>
      </c>
      <c r="O401" s="355">
        <v>87173</v>
      </c>
      <c r="P401" s="355">
        <v>87870</v>
      </c>
      <c r="Q401" s="355">
        <v>84817</v>
      </c>
      <c r="R401" s="355">
        <v>83930</v>
      </c>
      <c r="S401" s="355">
        <v>87335</v>
      </c>
      <c r="T401" s="355">
        <v>83713</v>
      </c>
      <c r="U401" s="59">
        <f t="shared" si="39"/>
        <v>83689</v>
      </c>
      <c r="V401" s="59">
        <f t="shared" si="40"/>
        <v>93760</v>
      </c>
      <c r="W401" s="59">
        <f t="shared" si="41"/>
        <v>87703.3</v>
      </c>
      <c r="X401" s="60">
        <f t="shared" si="42"/>
        <v>89.28434300341297</v>
      </c>
      <c r="AC401" s="53"/>
      <c r="AL401" s="65">
        <f>_xlfn.IFERROR(INDEX('Tabela PW'!$T:$T,'Słownik PW'!C401,1),"")</f>
        <v>83713</v>
      </c>
    </row>
    <row r="402" spans="1:38" ht="15">
      <c r="A402" s="4" t="s">
        <v>376</v>
      </c>
      <c r="B402" s="5" t="s">
        <v>682</v>
      </c>
      <c r="C402" s="49" t="s">
        <v>412</v>
      </c>
      <c r="D402" s="349">
        <f t="shared" si="38"/>
        <v>47</v>
      </c>
      <c r="E402" s="350" t="s">
        <v>1107</v>
      </c>
      <c r="F402" s="51" t="s">
        <v>25</v>
      </c>
      <c r="G402" s="351" t="s">
        <v>683</v>
      </c>
      <c r="H402" s="351" t="s">
        <v>2180</v>
      </c>
      <c r="I402" s="351" t="s">
        <v>2181</v>
      </c>
      <c r="J402" s="351" t="s">
        <v>4101</v>
      </c>
      <c r="K402" s="354">
        <v>36021</v>
      </c>
      <c r="L402" s="355">
        <v>38918</v>
      </c>
      <c r="M402" s="354">
        <v>30101</v>
      </c>
      <c r="N402" s="355">
        <v>40336</v>
      </c>
      <c r="O402" s="355">
        <v>35853</v>
      </c>
      <c r="P402" s="355">
        <v>40944</v>
      </c>
      <c r="Q402" s="355">
        <v>40668</v>
      </c>
      <c r="R402" s="355">
        <v>39787</v>
      </c>
      <c r="S402" s="355">
        <v>40552</v>
      </c>
      <c r="T402" s="355">
        <v>37440</v>
      </c>
      <c r="U402" s="59">
        <f t="shared" si="39"/>
        <v>30101</v>
      </c>
      <c r="V402" s="59">
        <f t="shared" si="40"/>
        <v>40944</v>
      </c>
      <c r="W402" s="59">
        <f t="shared" si="41"/>
        <v>38062</v>
      </c>
      <c r="X402" s="60">
        <f t="shared" si="42"/>
        <v>103.93936870159072</v>
      </c>
      <c r="AC402" s="53"/>
      <c r="AL402" s="65">
        <f>_xlfn.IFERROR(INDEX('Tabela PW'!$T:$T,'Słownik PW'!C402,1),"")</f>
        <v>37440</v>
      </c>
    </row>
    <row r="403" spans="1:38" ht="15">
      <c r="A403" s="4" t="s">
        <v>376</v>
      </c>
      <c r="B403" s="5" t="s">
        <v>682</v>
      </c>
      <c r="C403" s="49" t="s">
        <v>413</v>
      </c>
      <c r="D403" s="349">
        <f t="shared" si="38"/>
        <v>71</v>
      </c>
      <c r="E403" s="350" t="s">
        <v>1108</v>
      </c>
      <c r="F403" s="51" t="s">
        <v>25</v>
      </c>
      <c r="G403" s="351" t="s">
        <v>683</v>
      </c>
      <c r="H403" s="351" t="s">
        <v>2182</v>
      </c>
      <c r="I403" s="351" t="s">
        <v>2183</v>
      </c>
      <c r="J403" s="351" t="s">
        <v>4102</v>
      </c>
      <c r="K403" s="354">
        <v>5283</v>
      </c>
      <c r="L403" s="355">
        <v>4286</v>
      </c>
      <c r="M403" s="354">
        <v>4554</v>
      </c>
      <c r="N403" s="355">
        <v>5168</v>
      </c>
      <c r="O403" s="355">
        <v>4427</v>
      </c>
      <c r="P403" s="355">
        <v>4431</v>
      </c>
      <c r="Q403" s="355">
        <v>4642</v>
      </c>
      <c r="R403" s="355">
        <v>4504</v>
      </c>
      <c r="S403" s="355">
        <v>4640</v>
      </c>
      <c r="T403" s="355">
        <v>3957</v>
      </c>
      <c r="U403" s="59">
        <f t="shared" si="39"/>
        <v>3957</v>
      </c>
      <c r="V403" s="59">
        <f t="shared" si="40"/>
        <v>5283</v>
      </c>
      <c r="W403" s="59">
        <f t="shared" si="41"/>
        <v>4589.2</v>
      </c>
      <c r="X403" s="60">
        <f t="shared" si="42"/>
        <v>74.90062464508802</v>
      </c>
      <c r="AC403" s="53"/>
      <c r="AL403" s="65">
        <f>_xlfn.IFERROR(INDEX('Tabela PW'!$T:$T,'Słownik PW'!C403,1),"")</f>
        <v>3957</v>
      </c>
    </row>
    <row r="404" spans="1:38" ht="15">
      <c r="A404" s="4" t="s">
        <v>376</v>
      </c>
      <c r="B404" s="5" t="s">
        <v>682</v>
      </c>
      <c r="C404" s="49" t="s">
        <v>414</v>
      </c>
      <c r="D404" s="349">
        <f t="shared" si="38"/>
        <v>18</v>
      </c>
      <c r="E404" s="350" t="s">
        <v>1109</v>
      </c>
      <c r="F404" s="51" t="s">
        <v>25</v>
      </c>
      <c r="G404" s="351" t="s">
        <v>683</v>
      </c>
      <c r="H404" s="351" t="s">
        <v>2184</v>
      </c>
      <c r="I404" s="351" t="s">
        <v>2185</v>
      </c>
      <c r="J404" s="351" t="s">
        <v>4103</v>
      </c>
      <c r="K404" s="354">
        <v>11767782</v>
      </c>
      <c r="L404" s="355">
        <v>13629534</v>
      </c>
      <c r="M404" s="354">
        <v>11807292</v>
      </c>
      <c r="N404" s="355">
        <v>10855278</v>
      </c>
      <c r="O404" s="355">
        <v>11865458</v>
      </c>
      <c r="P404" s="355">
        <v>11278440</v>
      </c>
      <c r="Q404" s="355">
        <v>12075294</v>
      </c>
      <c r="R404" s="355">
        <v>12996506</v>
      </c>
      <c r="S404" s="355">
        <v>14220605</v>
      </c>
      <c r="T404" s="355">
        <v>14177621</v>
      </c>
      <c r="U404" s="59">
        <f t="shared" si="39"/>
        <v>10855278</v>
      </c>
      <c r="V404" s="59">
        <f t="shared" si="40"/>
        <v>14220605</v>
      </c>
      <c r="W404" s="59">
        <f t="shared" si="41"/>
        <v>12467381</v>
      </c>
      <c r="X404" s="60">
        <f t="shared" si="42"/>
        <v>120.47827704490106</v>
      </c>
      <c r="AC404" s="53"/>
      <c r="AL404" s="65">
        <f>_xlfn.IFERROR(INDEX('Tabela PW'!$T:$T,'Słownik PW'!C404,1),"")</f>
        <v>14177621</v>
      </c>
    </row>
    <row r="405" spans="1:38" ht="15">
      <c r="A405" s="4" t="s">
        <v>376</v>
      </c>
      <c r="B405" s="5" t="s">
        <v>682</v>
      </c>
      <c r="C405" s="49" t="s">
        <v>415</v>
      </c>
      <c r="D405" s="349">
        <f t="shared" si="38"/>
        <v>91</v>
      </c>
      <c r="E405" s="350" t="s">
        <v>1110</v>
      </c>
      <c r="F405" s="51" t="s">
        <v>25</v>
      </c>
      <c r="G405" s="351" t="s">
        <v>683</v>
      </c>
      <c r="H405" s="351" t="s">
        <v>2186</v>
      </c>
      <c r="I405" s="351" t="s">
        <v>2187</v>
      </c>
      <c r="J405" s="351" t="s">
        <v>4104</v>
      </c>
      <c r="K405" s="354">
        <v>15812117</v>
      </c>
      <c r="L405" s="355">
        <v>18992942</v>
      </c>
      <c r="M405" s="354">
        <v>15797369</v>
      </c>
      <c r="N405" s="355">
        <v>14598385</v>
      </c>
      <c r="O405" s="355">
        <v>15594874</v>
      </c>
      <c r="P405" s="355">
        <v>15265192</v>
      </c>
      <c r="Q405" s="355">
        <v>15782396</v>
      </c>
      <c r="R405" s="355">
        <v>17254361</v>
      </c>
      <c r="S405" s="355">
        <v>18957459</v>
      </c>
      <c r="T405" s="355">
        <v>18946150</v>
      </c>
      <c r="U405" s="59">
        <f t="shared" si="39"/>
        <v>14598385</v>
      </c>
      <c r="V405" s="59">
        <f t="shared" si="40"/>
        <v>18992942</v>
      </c>
      <c r="W405" s="59">
        <f t="shared" si="41"/>
        <v>16700124.5</v>
      </c>
      <c r="X405" s="60">
        <f t="shared" si="42"/>
        <v>119.82045161947639</v>
      </c>
      <c r="AC405" s="53"/>
      <c r="AL405" s="65">
        <f>_xlfn.IFERROR(INDEX('Tabela PW'!$T:$T,'Słownik PW'!C405,1),"")</f>
        <v>18946150</v>
      </c>
    </row>
    <row r="406" spans="1:38" ht="15">
      <c r="A406" s="4" t="s">
        <v>376</v>
      </c>
      <c r="B406" s="5" t="s">
        <v>682</v>
      </c>
      <c r="C406" s="49" t="s">
        <v>416</v>
      </c>
      <c r="D406" s="349">
        <f t="shared" si="38"/>
        <v>18</v>
      </c>
      <c r="E406" s="350" t="s">
        <v>1111</v>
      </c>
      <c r="F406" s="51" t="s">
        <v>25</v>
      </c>
      <c r="G406" s="351" t="s">
        <v>683</v>
      </c>
      <c r="H406" s="351" t="s">
        <v>2188</v>
      </c>
      <c r="I406" s="351" t="s">
        <v>2189</v>
      </c>
      <c r="J406" s="351" t="s">
        <v>4105</v>
      </c>
      <c r="K406" s="354">
        <v>14750879</v>
      </c>
      <c r="L406" s="355">
        <v>17949939</v>
      </c>
      <c r="M406" s="354">
        <v>14765507</v>
      </c>
      <c r="N406" s="355">
        <v>13281026</v>
      </c>
      <c r="O406" s="355">
        <v>14513434</v>
      </c>
      <c r="P406" s="355">
        <v>13856274</v>
      </c>
      <c r="Q406" s="355">
        <v>13835109</v>
      </c>
      <c r="R406" s="355">
        <v>15167820</v>
      </c>
      <c r="S406" s="355">
        <v>16583222</v>
      </c>
      <c r="T406" s="355">
        <v>16474909</v>
      </c>
      <c r="U406" s="59">
        <f t="shared" si="39"/>
        <v>13281026</v>
      </c>
      <c r="V406" s="59">
        <f t="shared" si="40"/>
        <v>17949939</v>
      </c>
      <c r="W406" s="59">
        <f t="shared" si="41"/>
        <v>15117811.9</v>
      </c>
      <c r="X406" s="60">
        <f t="shared" si="42"/>
        <v>111.68764247879737</v>
      </c>
      <c r="AC406" s="53"/>
      <c r="AL406" s="65">
        <f>_xlfn.IFERROR(INDEX('Tabela PW'!$T:$T,'Słownik PW'!C406,1),"")</f>
        <v>16474909</v>
      </c>
    </row>
    <row r="407" spans="1:38" ht="15">
      <c r="A407" s="4" t="s">
        <v>376</v>
      </c>
      <c r="B407" s="5" t="s">
        <v>682</v>
      </c>
      <c r="C407" s="49" t="s">
        <v>417</v>
      </c>
      <c r="D407" s="349">
        <f t="shared" si="38"/>
        <v>31</v>
      </c>
      <c r="E407" s="350" t="s">
        <v>1112</v>
      </c>
      <c r="F407" s="51" t="s">
        <v>25</v>
      </c>
      <c r="G407" s="351" t="s">
        <v>683</v>
      </c>
      <c r="H407" s="351" t="s">
        <v>2190</v>
      </c>
      <c r="I407" s="351" t="s">
        <v>2191</v>
      </c>
      <c r="J407" s="351" t="s">
        <v>4106</v>
      </c>
      <c r="K407" s="355" t="s">
        <v>2740</v>
      </c>
      <c r="L407" s="355" t="s">
        <v>2740</v>
      </c>
      <c r="M407" s="355" t="s">
        <v>2740</v>
      </c>
      <c r="N407" s="355" t="s">
        <v>2740</v>
      </c>
      <c r="O407" s="355" t="s">
        <v>2740</v>
      </c>
      <c r="P407" s="355" t="s">
        <v>2740</v>
      </c>
      <c r="Q407" s="355" t="s">
        <v>2740</v>
      </c>
      <c r="R407" s="355" t="s">
        <v>2740</v>
      </c>
      <c r="S407" s="355" t="s">
        <v>2740</v>
      </c>
      <c r="T407" s="355" t="s">
        <v>2740</v>
      </c>
      <c r="U407" s="59">
        <f t="shared" si="39"/>
        <v>0</v>
      </c>
      <c r="V407" s="59">
        <f t="shared" si="40"/>
        <v>0</v>
      </c>
      <c r="W407" s="59" t="e">
        <f t="shared" si="41"/>
        <v>#DIV/0!</v>
      </c>
      <c r="X407" s="60" t="str">
        <f t="shared" si="42"/>
        <v>-</v>
      </c>
      <c r="AC407" s="53"/>
      <c r="AL407" s="65" t="str">
        <f>_xlfn.IFERROR(INDEX('Tabela PW'!$T:$T,'Słownik PW'!C407,1),"")</f>
        <v>#</v>
      </c>
    </row>
    <row r="408" spans="1:38" ht="15">
      <c r="A408" s="4" t="s">
        <v>376</v>
      </c>
      <c r="B408" s="5" t="s">
        <v>682</v>
      </c>
      <c r="C408" s="49" t="s">
        <v>418</v>
      </c>
      <c r="D408" s="349">
        <f t="shared" si="38"/>
        <v>36</v>
      </c>
      <c r="E408" s="350" t="s">
        <v>1113</v>
      </c>
      <c r="F408" s="51" t="s">
        <v>25</v>
      </c>
      <c r="G408" s="351" t="s">
        <v>683</v>
      </c>
      <c r="H408" s="351" t="s">
        <v>2192</v>
      </c>
      <c r="I408" s="351" t="s">
        <v>2193</v>
      </c>
      <c r="J408" s="351" t="s">
        <v>4107</v>
      </c>
      <c r="K408" s="354">
        <v>1798875</v>
      </c>
      <c r="L408" s="355">
        <v>2036278</v>
      </c>
      <c r="M408" s="354">
        <v>1798783</v>
      </c>
      <c r="N408" s="355">
        <v>1709451</v>
      </c>
      <c r="O408" s="355">
        <v>1817324</v>
      </c>
      <c r="P408" s="355">
        <v>1941861</v>
      </c>
      <c r="Q408" s="355">
        <v>1869034</v>
      </c>
      <c r="R408" s="355">
        <v>1904030</v>
      </c>
      <c r="S408" s="355">
        <v>2683654</v>
      </c>
      <c r="T408" s="355">
        <v>2645091</v>
      </c>
      <c r="U408" s="59">
        <f t="shared" si="39"/>
        <v>1709451</v>
      </c>
      <c r="V408" s="59">
        <f t="shared" si="40"/>
        <v>2683654</v>
      </c>
      <c r="W408" s="59">
        <f t="shared" si="41"/>
        <v>2020438.1</v>
      </c>
      <c r="X408" s="60">
        <f t="shared" si="42"/>
        <v>147.04140087554723</v>
      </c>
      <c r="AC408" s="53"/>
      <c r="AL408" s="65">
        <f>_xlfn.IFERROR(INDEX('Tabela PW'!$T:$T,'Słownik PW'!C408,1),"")</f>
        <v>2645091</v>
      </c>
    </row>
    <row r="409" spans="1:38" ht="15">
      <c r="A409" s="4" t="s">
        <v>376</v>
      </c>
      <c r="B409" s="5" t="s">
        <v>682</v>
      </c>
      <c r="C409" s="49" t="s">
        <v>419</v>
      </c>
      <c r="D409" s="349">
        <f t="shared" si="38"/>
        <v>13</v>
      </c>
      <c r="E409" s="350" t="s">
        <v>1114</v>
      </c>
      <c r="F409" s="51" t="s">
        <v>25</v>
      </c>
      <c r="G409" s="351" t="s">
        <v>683</v>
      </c>
      <c r="H409" s="351" t="s">
        <v>2194</v>
      </c>
      <c r="I409" s="351" t="s">
        <v>2195</v>
      </c>
      <c r="J409" s="351" t="s">
        <v>4108</v>
      </c>
      <c r="K409" s="354">
        <v>404407</v>
      </c>
      <c r="L409" s="355">
        <v>294873</v>
      </c>
      <c r="M409" s="354">
        <v>279354</v>
      </c>
      <c r="N409" s="355">
        <v>257638</v>
      </c>
      <c r="O409" s="355">
        <v>252760</v>
      </c>
      <c r="P409" s="355">
        <v>228024</v>
      </c>
      <c r="Q409" s="355">
        <v>237753</v>
      </c>
      <c r="R409" s="355">
        <v>218691</v>
      </c>
      <c r="S409" s="355">
        <v>229795</v>
      </c>
      <c r="T409" s="355">
        <v>211198</v>
      </c>
      <c r="U409" s="59">
        <f t="shared" si="39"/>
        <v>211198</v>
      </c>
      <c r="V409" s="59">
        <f t="shared" si="40"/>
        <v>404407</v>
      </c>
      <c r="W409" s="59">
        <f t="shared" si="41"/>
        <v>261449.3</v>
      </c>
      <c r="X409" s="60">
        <f t="shared" si="42"/>
        <v>52.22412074964083</v>
      </c>
      <c r="AC409" s="53"/>
      <c r="AL409" s="65">
        <f>_xlfn.IFERROR(INDEX('Tabela PW'!$T:$T,'Słownik PW'!C409,1),"")</f>
        <v>211198</v>
      </c>
    </row>
    <row r="410" spans="1:38" ht="15">
      <c r="A410" s="4" t="s">
        <v>376</v>
      </c>
      <c r="B410" s="5" t="s">
        <v>682</v>
      </c>
      <c r="C410" s="49" t="s">
        <v>420</v>
      </c>
      <c r="D410" s="349">
        <f t="shared" si="38"/>
        <v>149</v>
      </c>
      <c r="E410" s="350" t="s">
        <v>1115</v>
      </c>
      <c r="F410" s="51" t="s">
        <v>25</v>
      </c>
      <c r="G410" s="351" t="s">
        <v>683</v>
      </c>
      <c r="H410" s="351" t="s">
        <v>2196</v>
      </c>
      <c r="I410" s="351" t="s">
        <v>2197</v>
      </c>
      <c r="J410" s="351" t="s">
        <v>4109</v>
      </c>
      <c r="K410" s="354">
        <v>1040269</v>
      </c>
      <c r="L410" s="355">
        <v>1038898</v>
      </c>
      <c r="M410" s="354">
        <v>942340</v>
      </c>
      <c r="N410" s="355">
        <v>975543</v>
      </c>
      <c r="O410" s="355">
        <v>1090287</v>
      </c>
      <c r="P410" s="355">
        <v>1164247</v>
      </c>
      <c r="Q410" s="355">
        <v>983554</v>
      </c>
      <c r="R410" s="355">
        <v>1407859</v>
      </c>
      <c r="S410" s="355">
        <v>1498748</v>
      </c>
      <c r="T410" s="355">
        <v>1459614</v>
      </c>
      <c r="U410" s="59">
        <f t="shared" si="39"/>
        <v>942340</v>
      </c>
      <c r="V410" s="59">
        <f t="shared" si="40"/>
        <v>1498748</v>
      </c>
      <c r="W410" s="59">
        <f t="shared" si="41"/>
        <v>1160135.9</v>
      </c>
      <c r="X410" s="60">
        <f t="shared" si="42"/>
        <v>140.31120796640099</v>
      </c>
      <c r="AC410" s="53"/>
      <c r="AL410" s="65">
        <f>_xlfn.IFERROR(INDEX('Tabela PW'!$T:$T,'Słownik PW'!C410,1),"")</f>
        <v>1459614</v>
      </c>
    </row>
    <row r="411" spans="1:38" ht="15">
      <c r="A411" s="4" t="s">
        <v>376</v>
      </c>
      <c r="B411" s="5" t="s">
        <v>682</v>
      </c>
      <c r="C411" s="49" t="s">
        <v>421</v>
      </c>
      <c r="D411" s="349">
        <f t="shared" si="38"/>
        <v>133</v>
      </c>
      <c r="E411" s="350" t="s">
        <v>1116</v>
      </c>
      <c r="F411" s="51" t="s">
        <v>25</v>
      </c>
      <c r="G411" s="351" t="s">
        <v>683</v>
      </c>
      <c r="H411" s="351" t="s">
        <v>2198</v>
      </c>
      <c r="I411" s="351" t="s">
        <v>2199</v>
      </c>
      <c r="J411" s="351" t="s">
        <v>4110</v>
      </c>
      <c r="K411" s="354">
        <v>93455</v>
      </c>
      <c r="L411" s="355">
        <v>84596</v>
      </c>
      <c r="M411" s="354">
        <v>67345</v>
      </c>
      <c r="N411" s="355">
        <v>50823</v>
      </c>
      <c r="O411" s="355">
        <v>68212</v>
      </c>
      <c r="P411" s="355">
        <v>94892</v>
      </c>
      <c r="Q411" s="355">
        <v>105788</v>
      </c>
      <c r="R411" s="355">
        <v>107040</v>
      </c>
      <c r="S411" s="355">
        <v>120539</v>
      </c>
      <c r="T411" s="355">
        <v>130109</v>
      </c>
      <c r="U411" s="59">
        <f t="shared" si="39"/>
        <v>50823</v>
      </c>
      <c r="V411" s="59">
        <f t="shared" si="40"/>
        <v>130109</v>
      </c>
      <c r="W411" s="59">
        <f t="shared" si="41"/>
        <v>92279.9</v>
      </c>
      <c r="X411" s="60">
        <f t="shared" si="42"/>
        <v>139.22101546198707</v>
      </c>
      <c r="AC411" s="53"/>
      <c r="AL411" s="65">
        <f>_xlfn.IFERROR(INDEX('Tabela PW'!$T:$T,'Słownik PW'!C411,1),"")</f>
        <v>130109</v>
      </c>
    </row>
    <row r="412" spans="1:38" ht="15">
      <c r="A412" s="4" t="s">
        <v>376</v>
      </c>
      <c r="B412" s="5" t="s">
        <v>682</v>
      </c>
      <c r="C412" s="49" t="s">
        <v>422</v>
      </c>
      <c r="D412" s="349">
        <f t="shared" si="38"/>
        <v>82</v>
      </c>
      <c r="E412" s="350" t="s">
        <v>1117</v>
      </c>
      <c r="F412" s="51" t="s">
        <v>193</v>
      </c>
      <c r="G412" s="351" t="s">
        <v>679</v>
      </c>
      <c r="H412" s="351" t="s">
        <v>2200</v>
      </c>
      <c r="I412" s="351" t="s">
        <v>2201</v>
      </c>
      <c r="J412" s="351" t="s">
        <v>4111</v>
      </c>
      <c r="K412" s="354">
        <v>4598494</v>
      </c>
      <c r="L412" s="355">
        <v>4814581</v>
      </c>
      <c r="M412" s="354">
        <v>4313260</v>
      </c>
      <c r="N412" s="355">
        <v>4384360</v>
      </c>
      <c r="O412" s="366">
        <v>4749523</v>
      </c>
      <c r="P412" s="366">
        <v>4422430</v>
      </c>
      <c r="Q412" s="366">
        <v>4627317</v>
      </c>
      <c r="R412" s="355">
        <v>5069755</v>
      </c>
      <c r="S412" s="355">
        <v>5556616</v>
      </c>
      <c r="T412" s="355">
        <v>5827999</v>
      </c>
      <c r="U412" s="59">
        <f t="shared" si="39"/>
        <v>4313260</v>
      </c>
      <c r="V412" s="59">
        <f t="shared" si="40"/>
        <v>5827999</v>
      </c>
      <c r="W412" s="59">
        <f t="shared" si="41"/>
        <v>4836433.5</v>
      </c>
      <c r="X412" s="60">
        <f t="shared" si="42"/>
        <v>126.73712306681276</v>
      </c>
      <c r="AC412" s="53"/>
      <c r="AL412" s="65">
        <f>_xlfn.IFERROR(INDEX('Tabela PW'!$T:$T,'Słownik PW'!C412,1),"")</f>
        <v>5827999</v>
      </c>
    </row>
    <row r="413" spans="1:38" ht="15">
      <c r="A413" s="4" t="s">
        <v>376</v>
      </c>
      <c r="B413" s="5" t="s">
        <v>682</v>
      </c>
      <c r="C413" s="49" t="s">
        <v>422</v>
      </c>
      <c r="D413" s="349">
        <f t="shared" si="38"/>
        <v>82</v>
      </c>
      <c r="E413" s="350" t="s">
        <v>1118</v>
      </c>
      <c r="F413" s="51" t="s">
        <v>25</v>
      </c>
      <c r="G413" s="351" t="s">
        <v>683</v>
      </c>
      <c r="H413" s="351" t="s">
        <v>2202</v>
      </c>
      <c r="I413" s="351" t="s">
        <v>2203</v>
      </c>
      <c r="J413" s="351" t="s">
        <v>4112</v>
      </c>
      <c r="K413" s="354">
        <v>3366986</v>
      </c>
      <c r="L413" s="355">
        <v>3489764</v>
      </c>
      <c r="M413" s="354">
        <v>3068965</v>
      </c>
      <c r="N413" s="355">
        <v>3071302</v>
      </c>
      <c r="O413" s="366">
        <v>3281167</v>
      </c>
      <c r="P413" s="366">
        <v>3027680</v>
      </c>
      <c r="Q413" s="366">
        <v>3216946</v>
      </c>
      <c r="R413" s="355">
        <v>3520175</v>
      </c>
      <c r="S413" s="355">
        <v>3851730</v>
      </c>
      <c r="T413" s="355">
        <v>3996145</v>
      </c>
      <c r="U413" s="59">
        <f t="shared" si="39"/>
        <v>3027680</v>
      </c>
      <c r="V413" s="59">
        <f t="shared" si="40"/>
        <v>3996145</v>
      </c>
      <c r="W413" s="59">
        <f t="shared" si="41"/>
        <v>3389086</v>
      </c>
      <c r="X413" s="60">
        <f t="shared" si="42"/>
        <v>118.68611868300016</v>
      </c>
      <c r="AC413" s="53"/>
      <c r="AL413" s="65">
        <f>_xlfn.IFERROR(INDEX('Tabela PW'!$T:$T,'Słownik PW'!C413,1),"")</f>
        <v>3996145</v>
      </c>
    </row>
    <row r="414" spans="1:38" ht="15">
      <c r="A414" s="4" t="s">
        <v>376</v>
      </c>
      <c r="B414" s="5" t="s">
        <v>682</v>
      </c>
      <c r="C414" s="49" t="s">
        <v>423</v>
      </c>
      <c r="D414" s="349">
        <f t="shared" si="38"/>
        <v>27</v>
      </c>
      <c r="E414" s="350" t="s">
        <v>1119</v>
      </c>
      <c r="F414" s="51" t="s">
        <v>25</v>
      </c>
      <c r="G414" s="351" t="s">
        <v>683</v>
      </c>
      <c r="H414" s="351" t="s">
        <v>2204</v>
      </c>
      <c r="I414" s="351" t="s">
        <v>2205</v>
      </c>
      <c r="J414" s="351" t="s">
        <v>4113</v>
      </c>
      <c r="K414" s="354">
        <v>1336017</v>
      </c>
      <c r="L414" s="355">
        <v>1949319</v>
      </c>
      <c r="M414" s="354">
        <v>1706064</v>
      </c>
      <c r="N414" s="355">
        <v>1559920</v>
      </c>
      <c r="O414" s="355">
        <v>1759258</v>
      </c>
      <c r="P414" s="355">
        <v>2209454</v>
      </c>
      <c r="Q414" s="355">
        <v>2439365</v>
      </c>
      <c r="R414" s="355">
        <v>2684551</v>
      </c>
      <c r="S414" s="355">
        <v>2911436</v>
      </c>
      <c r="T414" s="355">
        <v>3056474</v>
      </c>
      <c r="U414" s="59">
        <f t="shared" si="39"/>
        <v>1336017</v>
      </c>
      <c r="V414" s="59">
        <f t="shared" si="40"/>
        <v>3056474</v>
      </c>
      <c r="W414" s="59">
        <f t="shared" si="41"/>
        <v>2161185.8</v>
      </c>
      <c r="X414" s="60">
        <f t="shared" si="42"/>
        <v>228.77508295178876</v>
      </c>
      <c r="AC414" s="53"/>
      <c r="AL414" s="65">
        <f>_xlfn.IFERROR(INDEX('Tabela PW'!$T:$T,'Słownik PW'!C414,1),"")</f>
        <v>3056474</v>
      </c>
    </row>
    <row r="415" spans="1:38" ht="15">
      <c r="A415" s="4" t="s">
        <v>376</v>
      </c>
      <c r="B415" s="5" t="s">
        <v>682</v>
      </c>
      <c r="C415" s="49" t="s">
        <v>424</v>
      </c>
      <c r="D415" s="349">
        <f t="shared" si="38"/>
        <v>16</v>
      </c>
      <c r="E415" s="350" t="s">
        <v>1120</v>
      </c>
      <c r="F415" s="51" t="s">
        <v>400</v>
      </c>
      <c r="G415" s="351" t="s">
        <v>702</v>
      </c>
      <c r="H415" s="351" t="s">
        <v>2206</v>
      </c>
      <c r="I415" s="351" t="s">
        <v>2207</v>
      </c>
      <c r="J415" s="351" t="s">
        <v>4114</v>
      </c>
      <c r="K415" s="354">
        <v>242487</v>
      </c>
      <c r="L415" s="355">
        <v>302343</v>
      </c>
      <c r="M415" s="354">
        <v>287617</v>
      </c>
      <c r="N415" s="355">
        <v>264918</v>
      </c>
      <c r="O415" s="355">
        <v>301014</v>
      </c>
      <c r="P415" s="355">
        <v>401403</v>
      </c>
      <c r="Q415" s="355">
        <v>483388</v>
      </c>
      <c r="R415" s="355">
        <v>522840</v>
      </c>
      <c r="S415" s="355">
        <v>582811</v>
      </c>
      <c r="T415" s="355">
        <v>574379</v>
      </c>
      <c r="U415" s="59">
        <f t="shared" si="39"/>
        <v>242487</v>
      </c>
      <c r="V415" s="59">
        <f t="shared" si="40"/>
        <v>582811</v>
      </c>
      <c r="W415" s="59">
        <f t="shared" si="41"/>
        <v>396320</v>
      </c>
      <c r="X415" s="60">
        <f t="shared" si="42"/>
        <v>236.87001777414872</v>
      </c>
      <c r="AC415" s="53"/>
      <c r="AL415" s="65">
        <f>_xlfn.IFERROR(INDEX('Tabela PW'!$T:$T,'Słownik PW'!C415,1),"")</f>
        <v>574379</v>
      </c>
    </row>
    <row r="416" spans="1:38" ht="15">
      <c r="A416" s="4" t="s">
        <v>376</v>
      </c>
      <c r="B416" s="5" t="s">
        <v>682</v>
      </c>
      <c r="C416" s="49" t="s">
        <v>425</v>
      </c>
      <c r="D416" s="349">
        <f t="shared" si="38"/>
        <v>42</v>
      </c>
      <c r="E416" s="350" t="s">
        <v>1121</v>
      </c>
      <c r="F416" s="51" t="s">
        <v>25</v>
      </c>
      <c r="G416" s="351" t="s">
        <v>683</v>
      </c>
      <c r="H416" s="351" t="s">
        <v>2208</v>
      </c>
      <c r="I416" s="351" t="s">
        <v>2209</v>
      </c>
      <c r="J416" s="351" t="s">
        <v>4115</v>
      </c>
      <c r="K416" s="354">
        <v>10232782</v>
      </c>
      <c r="L416" s="355">
        <v>12412126</v>
      </c>
      <c r="M416" s="354">
        <v>10479285</v>
      </c>
      <c r="N416" s="355">
        <v>11300826</v>
      </c>
      <c r="O416" s="355">
        <v>12544408</v>
      </c>
      <c r="P416" s="355">
        <v>12365572</v>
      </c>
      <c r="Q416" s="355">
        <v>12811538</v>
      </c>
      <c r="R416" s="355">
        <v>13269411</v>
      </c>
      <c r="S416" s="355">
        <v>13847370</v>
      </c>
      <c r="T416" s="355">
        <v>14647314</v>
      </c>
      <c r="U416" s="59">
        <f t="shared" si="39"/>
        <v>10232782</v>
      </c>
      <c r="V416" s="59">
        <f t="shared" si="40"/>
        <v>14647314</v>
      </c>
      <c r="W416" s="59">
        <f t="shared" si="41"/>
        <v>12391063.2</v>
      </c>
      <c r="X416" s="60">
        <f t="shared" si="42"/>
        <v>143.14107346369735</v>
      </c>
      <c r="AC416" s="53"/>
      <c r="AL416" s="65">
        <f>_xlfn.IFERROR(INDEX('Tabela PW'!$T:$T,'Słownik PW'!C416,1),"")</f>
        <v>14647314</v>
      </c>
    </row>
    <row r="417" spans="1:38" ht="15">
      <c r="A417" s="4" t="s">
        <v>376</v>
      </c>
      <c r="B417" s="5" t="s">
        <v>682</v>
      </c>
      <c r="C417" s="49" t="s">
        <v>426</v>
      </c>
      <c r="D417" s="349">
        <f t="shared" si="38"/>
        <v>132</v>
      </c>
      <c r="E417" s="350" t="s">
        <v>1122</v>
      </c>
      <c r="F417" s="51" t="s">
        <v>25</v>
      </c>
      <c r="G417" s="351" t="s">
        <v>683</v>
      </c>
      <c r="H417" s="351" t="s">
        <v>2210</v>
      </c>
      <c r="I417" s="351" t="s">
        <v>2211</v>
      </c>
      <c r="J417" s="351" t="s">
        <v>4116</v>
      </c>
      <c r="K417" s="354">
        <v>5193907</v>
      </c>
      <c r="L417" s="355">
        <v>5445906</v>
      </c>
      <c r="M417" s="354">
        <v>4722673</v>
      </c>
      <c r="N417" s="355">
        <v>4918338</v>
      </c>
      <c r="O417" s="366">
        <v>5154977</v>
      </c>
      <c r="P417" s="366">
        <v>5326942</v>
      </c>
      <c r="Q417" s="366">
        <v>5080454</v>
      </c>
      <c r="R417" s="355">
        <v>5865088</v>
      </c>
      <c r="S417" s="355">
        <v>6917120</v>
      </c>
      <c r="T417" s="355">
        <v>6772866</v>
      </c>
      <c r="U417" s="59">
        <f t="shared" si="39"/>
        <v>4722673</v>
      </c>
      <c r="V417" s="59">
        <f t="shared" si="40"/>
        <v>6917120</v>
      </c>
      <c r="W417" s="59">
        <f t="shared" si="41"/>
        <v>5539827.1</v>
      </c>
      <c r="X417" s="60">
        <f t="shared" si="42"/>
        <v>130.4002170235239</v>
      </c>
      <c r="AC417" s="53"/>
      <c r="AL417" s="65">
        <f>_xlfn.IFERROR(INDEX('Tabela PW'!$T:$T,'Słownik PW'!C417,1),"")</f>
        <v>6772866</v>
      </c>
    </row>
    <row r="418" spans="1:38" ht="15">
      <c r="A418" s="4" t="s">
        <v>376</v>
      </c>
      <c r="B418" s="5" t="s">
        <v>682</v>
      </c>
      <c r="C418" s="49" t="s">
        <v>427</v>
      </c>
      <c r="D418" s="349">
        <f t="shared" si="38"/>
        <v>29</v>
      </c>
      <c r="E418" s="350" t="s">
        <v>1123</v>
      </c>
      <c r="F418" s="51" t="s">
        <v>25</v>
      </c>
      <c r="G418" s="351" t="s">
        <v>683</v>
      </c>
      <c r="H418" s="351" t="s">
        <v>2212</v>
      </c>
      <c r="I418" s="351" t="s">
        <v>2213</v>
      </c>
      <c r="J418" s="351" t="s">
        <v>4117</v>
      </c>
      <c r="K418" s="354">
        <v>987808</v>
      </c>
      <c r="L418" s="355">
        <v>971733</v>
      </c>
      <c r="M418" s="354">
        <v>943719</v>
      </c>
      <c r="N418" s="355">
        <v>880335</v>
      </c>
      <c r="O418" s="355">
        <v>795603</v>
      </c>
      <c r="P418" s="356" t="s">
        <v>4569</v>
      </c>
      <c r="Q418" s="356" t="s">
        <v>4569</v>
      </c>
      <c r="R418" s="355" t="s">
        <v>4569</v>
      </c>
      <c r="S418" s="355" t="s">
        <v>4569</v>
      </c>
      <c r="T418" s="355" t="s">
        <v>4569</v>
      </c>
      <c r="U418" s="59">
        <f t="shared" si="39"/>
        <v>795603</v>
      </c>
      <c r="V418" s="59">
        <f t="shared" si="40"/>
        <v>987808</v>
      </c>
      <c r="W418" s="59">
        <f t="shared" si="41"/>
        <v>915839.6</v>
      </c>
      <c r="X418" s="60" t="str">
        <f t="shared" si="42"/>
        <v>-</v>
      </c>
      <c r="AC418" s="53"/>
      <c r="AL418" s="65" t="str">
        <f>_xlfn.IFERROR(INDEX('Tabela PW'!$T:$T,'Słownik PW'!C418,1),"")</f>
        <v>—</v>
      </c>
    </row>
    <row r="419" spans="1:38" ht="15">
      <c r="A419" s="4" t="s">
        <v>376</v>
      </c>
      <c r="B419" s="5" t="s">
        <v>682</v>
      </c>
      <c r="C419" s="49" t="s">
        <v>428</v>
      </c>
      <c r="D419" s="349">
        <f t="shared" si="38"/>
        <v>54</v>
      </c>
      <c r="E419" s="350" t="s">
        <v>1124</v>
      </c>
      <c r="F419" s="51" t="s">
        <v>25</v>
      </c>
      <c r="G419" s="351" t="s">
        <v>683</v>
      </c>
      <c r="H419" s="351" t="s">
        <v>2214</v>
      </c>
      <c r="I419" s="351" t="s">
        <v>2215</v>
      </c>
      <c r="J419" s="351" t="s">
        <v>4118</v>
      </c>
      <c r="K419" s="354">
        <v>43602947</v>
      </c>
      <c r="L419" s="355">
        <v>55074991</v>
      </c>
      <c r="M419" s="354">
        <v>44488535</v>
      </c>
      <c r="N419" s="355">
        <v>42446825</v>
      </c>
      <c r="O419" s="355">
        <v>45776881</v>
      </c>
      <c r="P419" s="355">
        <v>48507264</v>
      </c>
      <c r="Q419" s="355">
        <v>47020271</v>
      </c>
      <c r="R419" s="355">
        <v>53315445</v>
      </c>
      <c r="S419" s="355">
        <v>58406047</v>
      </c>
      <c r="T419" s="355">
        <v>58659615</v>
      </c>
      <c r="U419" s="59">
        <f t="shared" si="39"/>
        <v>42446825</v>
      </c>
      <c r="V419" s="59">
        <f t="shared" si="40"/>
        <v>58659615</v>
      </c>
      <c r="W419" s="59">
        <f t="shared" si="41"/>
        <v>49729882.1</v>
      </c>
      <c r="X419" s="60">
        <f t="shared" si="42"/>
        <v>134.53130817052343</v>
      </c>
      <c r="AC419" s="53"/>
      <c r="AL419" s="65">
        <f>_xlfn.IFERROR(INDEX('Tabela PW'!$T:$T,'Słownik PW'!C419,1),"")</f>
        <v>58659615</v>
      </c>
    </row>
    <row r="420" spans="1:38" ht="15">
      <c r="A420" s="4" t="s">
        <v>376</v>
      </c>
      <c r="B420" s="5" t="s">
        <v>682</v>
      </c>
      <c r="C420" s="49" t="s">
        <v>429</v>
      </c>
      <c r="D420" s="349">
        <f t="shared" si="38"/>
        <v>17</v>
      </c>
      <c r="E420" s="350" t="s">
        <v>1125</v>
      </c>
      <c r="F420" s="51" t="s">
        <v>25</v>
      </c>
      <c r="G420" s="351" t="s">
        <v>683</v>
      </c>
      <c r="H420" s="351" t="s">
        <v>2216</v>
      </c>
      <c r="I420" s="351" t="s">
        <v>2217</v>
      </c>
      <c r="J420" s="351" t="s">
        <v>4119</v>
      </c>
      <c r="K420" s="354">
        <v>4500057</v>
      </c>
      <c r="L420" s="355">
        <v>5191936</v>
      </c>
      <c r="M420" s="354">
        <v>4498107</v>
      </c>
      <c r="N420" s="355">
        <v>4518146</v>
      </c>
      <c r="O420" s="355">
        <v>4680765</v>
      </c>
      <c r="P420" s="355">
        <v>4581712</v>
      </c>
      <c r="Q420" s="355">
        <v>4792219</v>
      </c>
      <c r="R420" s="355">
        <v>5083017</v>
      </c>
      <c r="S420" s="355">
        <v>5340270</v>
      </c>
      <c r="T420" s="355">
        <v>5682749</v>
      </c>
      <c r="U420" s="59">
        <f t="shared" si="39"/>
        <v>4498107</v>
      </c>
      <c r="V420" s="59">
        <f t="shared" si="40"/>
        <v>5682749</v>
      </c>
      <c r="W420" s="59">
        <f t="shared" si="41"/>
        <v>4886897.8</v>
      </c>
      <c r="X420" s="60">
        <f t="shared" si="42"/>
        <v>126.28171154276491</v>
      </c>
      <c r="AC420" s="53"/>
      <c r="AL420" s="65">
        <f>_xlfn.IFERROR(INDEX('Tabela PW'!$T:$T,'Słownik PW'!C420,1),"")</f>
        <v>5682749</v>
      </c>
    </row>
    <row r="421" spans="1:38" ht="15">
      <c r="A421" s="4" t="s">
        <v>376</v>
      </c>
      <c r="B421" s="5" t="s">
        <v>682</v>
      </c>
      <c r="C421" s="49" t="s">
        <v>430</v>
      </c>
      <c r="D421" s="349">
        <f t="shared" si="38"/>
        <v>14</v>
      </c>
      <c r="E421" s="350" t="s">
        <v>1126</v>
      </c>
      <c r="F421" s="51" t="s">
        <v>25</v>
      </c>
      <c r="G421" s="351" t="s">
        <v>683</v>
      </c>
      <c r="H421" s="351" t="s">
        <v>2218</v>
      </c>
      <c r="I421" s="351" t="s">
        <v>2219</v>
      </c>
      <c r="J421" s="351" t="s">
        <v>4120</v>
      </c>
      <c r="K421" s="354">
        <v>38188</v>
      </c>
      <c r="L421" s="355">
        <v>37239</v>
      </c>
      <c r="M421" s="354">
        <v>41315</v>
      </c>
      <c r="N421" s="355">
        <v>41658</v>
      </c>
      <c r="O421" s="355">
        <v>45050</v>
      </c>
      <c r="P421" s="355">
        <v>44266</v>
      </c>
      <c r="Q421" s="355">
        <v>45710</v>
      </c>
      <c r="R421" s="355">
        <v>46721</v>
      </c>
      <c r="S421" s="355">
        <v>46143</v>
      </c>
      <c r="T421" s="355">
        <v>51849</v>
      </c>
      <c r="U421" s="59">
        <f t="shared" si="39"/>
        <v>37239</v>
      </c>
      <c r="V421" s="59">
        <f t="shared" si="40"/>
        <v>51849</v>
      </c>
      <c r="W421" s="59">
        <f t="shared" si="41"/>
        <v>43813.9</v>
      </c>
      <c r="X421" s="60">
        <f t="shared" si="42"/>
        <v>135.7730177018959</v>
      </c>
      <c r="AC421" s="53"/>
      <c r="AL421" s="65">
        <f>_xlfn.IFERROR(INDEX('Tabela PW'!$T:$T,'Słownik PW'!C421,1),"")</f>
        <v>51849</v>
      </c>
    </row>
    <row r="422" spans="1:38" ht="15">
      <c r="A422" s="4" t="s">
        <v>376</v>
      </c>
      <c r="B422" s="5" t="s">
        <v>682</v>
      </c>
      <c r="C422" s="49" t="s">
        <v>431</v>
      </c>
      <c r="D422" s="349">
        <f t="shared" si="38"/>
        <v>4</v>
      </c>
      <c r="E422" s="350" t="s">
        <v>1127</v>
      </c>
      <c r="F422" s="51" t="s">
        <v>146</v>
      </c>
      <c r="G422" s="351" t="s">
        <v>703</v>
      </c>
      <c r="H422" s="351" t="s">
        <v>2220</v>
      </c>
      <c r="I422" s="351" t="s">
        <v>2221</v>
      </c>
      <c r="J422" s="351" t="s">
        <v>4121</v>
      </c>
      <c r="K422" s="354">
        <v>91688</v>
      </c>
      <c r="L422" s="355">
        <v>91372</v>
      </c>
      <c r="M422" s="354">
        <v>87197</v>
      </c>
      <c r="N422" s="355">
        <v>74529</v>
      </c>
      <c r="O422" s="355">
        <v>75596</v>
      </c>
      <c r="P422" s="355">
        <v>70031</v>
      </c>
      <c r="Q422" s="355">
        <v>72763</v>
      </c>
      <c r="R422" s="355">
        <v>79043</v>
      </c>
      <c r="S422" s="355">
        <v>75694</v>
      </c>
      <c r="T422" s="355">
        <v>72410</v>
      </c>
      <c r="U422" s="59">
        <f t="shared" si="39"/>
        <v>70031</v>
      </c>
      <c r="V422" s="59">
        <f t="shared" si="40"/>
        <v>91688</v>
      </c>
      <c r="W422" s="59">
        <f t="shared" si="41"/>
        <v>79032.3</v>
      </c>
      <c r="X422" s="60">
        <f t="shared" si="42"/>
        <v>78.97434778815112</v>
      </c>
      <c r="AC422" s="53"/>
      <c r="AL422" s="65">
        <f>_xlfn.IFERROR(INDEX('Tabela PW'!$T:$T,'Słownik PW'!C422,1),"")</f>
        <v>72410</v>
      </c>
    </row>
    <row r="423" spans="1:38" ht="15">
      <c r="A423" s="4" t="s">
        <v>376</v>
      </c>
      <c r="B423" s="5" t="s">
        <v>682</v>
      </c>
      <c r="C423" s="49" t="s">
        <v>432</v>
      </c>
      <c r="D423" s="349">
        <f t="shared" si="38"/>
        <v>45</v>
      </c>
      <c r="E423" s="350" t="s">
        <v>1128</v>
      </c>
      <c r="F423" s="51" t="s">
        <v>25</v>
      </c>
      <c r="G423" s="351" t="s">
        <v>683</v>
      </c>
      <c r="H423" s="351" t="s">
        <v>2222</v>
      </c>
      <c r="I423" s="351" t="s">
        <v>2223</v>
      </c>
      <c r="J423" s="351" t="s">
        <v>4122</v>
      </c>
      <c r="K423" s="354">
        <v>394090</v>
      </c>
      <c r="L423" s="355">
        <v>454788</v>
      </c>
      <c r="M423" s="354">
        <v>451197</v>
      </c>
      <c r="N423" s="355">
        <v>469500</v>
      </c>
      <c r="O423" s="355">
        <v>501450</v>
      </c>
      <c r="P423" s="355">
        <v>496115</v>
      </c>
      <c r="Q423" s="355">
        <v>512472</v>
      </c>
      <c r="R423" s="355">
        <v>578935</v>
      </c>
      <c r="S423" s="355">
        <v>622921</v>
      </c>
      <c r="T423" s="355">
        <v>552703</v>
      </c>
      <c r="U423" s="59">
        <f t="shared" si="39"/>
        <v>394090</v>
      </c>
      <c r="V423" s="59">
        <f t="shared" si="40"/>
        <v>622921</v>
      </c>
      <c r="W423" s="59">
        <f t="shared" si="41"/>
        <v>503417.1</v>
      </c>
      <c r="X423" s="60">
        <f t="shared" si="42"/>
        <v>140.24791291329393</v>
      </c>
      <c r="AC423" s="53"/>
      <c r="AL423" s="65">
        <f>_xlfn.IFERROR(INDEX('Tabela PW'!$T:$T,'Słownik PW'!C423,1),"")</f>
        <v>552703</v>
      </c>
    </row>
    <row r="424" spans="1:38" ht="15">
      <c r="A424" s="4" t="s">
        <v>433</v>
      </c>
      <c r="B424" s="5" t="s">
        <v>683</v>
      </c>
      <c r="C424" s="49" t="s">
        <v>434</v>
      </c>
      <c r="D424" s="349">
        <f t="shared" si="38"/>
        <v>14</v>
      </c>
      <c r="E424" s="350" t="s">
        <v>1129</v>
      </c>
      <c r="F424" s="51" t="s">
        <v>25</v>
      </c>
      <c r="G424" s="351" t="s">
        <v>683</v>
      </c>
      <c r="H424" s="351" t="s">
        <v>2224</v>
      </c>
      <c r="I424" s="351" t="s">
        <v>2225</v>
      </c>
      <c r="J424" s="351" t="s">
        <v>4123</v>
      </c>
      <c r="K424" s="354">
        <v>3637995</v>
      </c>
      <c r="L424" s="355">
        <v>3974930</v>
      </c>
      <c r="M424" s="354">
        <v>3943968</v>
      </c>
      <c r="N424" s="355">
        <v>4013877</v>
      </c>
      <c r="O424" s="355">
        <v>4639571</v>
      </c>
      <c r="P424" s="355">
        <v>4826492</v>
      </c>
      <c r="Q424" s="355">
        <v>4679616</v>
      </c>
      <c r="R424" s="355">
        <v>5159128</v>
      </c>
      <c r="S424" s="355">
        <v>4787696</v>
      </c>
      <c r="T424" s="355">
        <v>4241941</v>
      </c>
      <c r="U424" s="59">
        <f t="shared" si="39"/>
        <v>3637995</v>
      </c>
      <c r="V424" s="59">
        <f t="shared" si="40"/>
        <v>5159128</v>
      </c>
      <c r="W424" s="59">
        <f t="shared" si="41"/>
        <v>4390521.4</v>
      </c>
      <c r="X424" s="60">
        <f t="shared" si="42"/>
        <v>116.60106734616183</v>
      </c>
      <c r="AC424" s="53"/>
      <c r="AL424" s="65">
        <f>_xlfn.IFERROR(INDEX('Tabela PW'!$T:$T,'Słownik PW'!C424,1),"")</f>
        <v>4241941</v>
      </c>
    </row>
    <row r="425" spans="1:38" ht="15">
      <c r="A425" s="4" t="s">
        <v>433</v>
      </c>
      <c r="B425" s="5" t="s">
        <v>683</v>
      </c>
      <c r="C425" s="49" t="s">
        <v>435</v>
      </c>
      <c r="D425" s="349">
        <f t="shared" si="38"/>
        <v>11</v>
      </c>
      <c r="E425" s="350" t="s">
        <v>1130</v>
      </c>
      <c r="F425" s="51" t="s">
        <v>25</v>
      </c>
      <c r="G425" s="351" t="s">
        <v>683</v>
      </c>
      <c r="H425" s="351" t="s">
        <v>2226</v>
      </c>
      <c r="I425" s="351" t="s">
        <v>2227</v>
      </c>
      <c r="J425" s="351" t="s">
        <v>4124</v>
      </c>
      <c r="K425" s="354">
        <v>53206</v>
      </c>
      <c r="L425" s="355">
        <v>72668</v>
      </c>
      <c r="M425" s="354">
        <v>78115</v>
      </c>
      <c r="N425" s="355">
        <v>73589</v>
      </c>
      <c r="O425" s="355">
        <v>62878</v>
      </c>
      <c r="P425" s="355">
        <v>77754</v>
      </c>
      <c r="Q425" s="355">
        <v>77682</v>
      </c>
      <c r="R425" s="355">
        <v>65732</v>
      </c>
      <c r="S425" s="355">
        <v>63618</v>
      </c>
      <c r="T425" s="355">
        <v>65523</v>
      </c>
      <c r="U425" s="59">
        <f t="shared" si="39"/>
        <v>53206</v>
      </c>
      <c r="V425" s="59">
        <f t="shared" si="40"/>
        <v>78115</v>
      </c>
      <c r="W425" s="59">
        <f t="shared" si="41"/>
        <v>69076.5</v>
      </c>
      <c r="X425" s="60">
        <f t="shared" si="42"/>
        <v>123.14964477690486</v>
      </c>
      <c r="AC425" s="53"/>
      <c r="AL425" s="65">
        <f>_xlfn.IFERROR(INDEX('Tabela PW'!$T:$T,'Słownik PW'!C425,1),"")</f>
        <v>65523</v>
      </c>
    </row>
    <row r="426" spans="1:38" ht="15">
      <c r="A426" s="4" t="s">
        <v>433</v>
      </c>
      <c r="B426" s="5" t="s">
        <v>683</v>
      </c>
      <c r="C426" s="49" t="s">
        <v>436</v>
      </c>
      <c r="D426" s="349">
        <f t="shared" si="38"/>
        <v>11</v>
      </c>
      <c r="E426" s="350" t="s">
        <v>1131</v>
      </c>
      <c r="F426" s="51" t="s">
        <v>25</v>
      </c>
      <c r="G426" s="351" t="s">
        <v>683</v>
      </c>
      <c r="H426" s="351" t="s">
        <v>2228</v>
      </c>
      <c r="I426" s="351" t="s">
        <v>2229</v>
      </c>
      <c r="J426" s="351" t="s">
        <v>4125</v>
      </c>
      <c r="K426" s="354">
        <v>7993025</v>
      </c>
      <c r="L426" s="355">
        <v>8776458</v>
      </c>
      <c r="M426" s="354">
        <v>8542514</v>
      </c>
      <c r="N426" s="355">
        <v>8199353</v>
      </c>
      <c r="O426" s="355">
        <v>8799731</v>
      </c>
      <c r="P426" s="355">
        <v>9336489</v>
      </c>
      <c r="Q426" s="355">
        <v>9160660</v>
      </c>
      <c r="R426" s="355">
        <v>10540354</v>
      </c>
      <c r="S426" s="355">
        <v>10332273</v>
      </c>
      <c r="T426" s="355">
        <v>9121911</v>
      </c>
      <c r="U426" s="59">
        <f t="shared" si="39"/>
        <v>7993025</v>
      </c>
      <c r="V426" s="59">
        <f t="shared" si="40"/>
        <v>10540354</v>
      </c>
      <c r="W426" s="59">
        <f t="shared" si="41"/>
        <v>9080276.8</v>
      </c>
      <c r="X426" s="60">
        <f t="shared" si="42"/>
        <v>114.12338882963584</v>
      </c>
      <c r="AC426" s="53"/>
      <c r="AL426" s="65">
        <f>_xlfn.IFERROR(INDEX('Tabela PW'!$T:$T,'Słownik PW'!C426,1),"")</f>
        <v>9121911</v>
      </c>
    </row>
    <row r="427" spans="1:38" ht="15">
      <c r="A427" s="4" t="s">
        <v>433</v>
      </c>
      <c r="B427" s="5" t="s">
        <v>683</v>
      </c>
      <c r="C427" s="49" t="s">
        <v>437</v>
      </c>
      <c r="D427" s="349">
        <f t="shared" si="38"/>
        <v>17</v>
      </c>
      <c r="E427" s="350" t="s">
        <v>1132</v>
      </c>
      <c r="F427" s="51" t="s">
        <v>25</v>
      </c>
      <c r="G427" s="351" t="s">
        <v>683</v>
      </c>
      <c r="H427" s="351" t="s">
        <v>2230</v>
      </c>
      <c r="I427" s="351" t="s">
        <v>2231</v>
      </c>
      <c r="J427" s="351" t="s">
        <v>4126</v>
      </c>
      <c r="K427" s="354">
        <v>3994650</v>
      </c>
      <c r="L427" s="355">
        <v>4423604</v>
      </c>
      <c r="M427" s="354">
        <v>4333168</v>
      </c>
      <c r="N427" s="355">
        <v>4520358</v>
      </c>
      <c r="O427" s="355">
        <v>5182371</v>
      </c>
      <c r="P427" s="355">
        <v>5358991</v>
      </c>
      <c r="Q427" s="355">
        <v>5145076</v>
      </c>
      <c r="R427" s="355">
        <v>5728091</v>
      </c>
      <c r="S427" s="355">
        <v>5418381</v>
      </c>
      <c r="T427" s="355">
        <v>4937654</v>
      </c>
      <c r="U427" s="59">
        <f t="shared" si="39"/>
        <v>3994650</v>
      </c>
      <c r="V427" s="59">
        <f t="shared" si="40"/>
        <v>5728091</v>
      </c>
      <c r="W427" s="59">
        <f t="shared" si="41"/>
        <v>4904234.4</v>
      </c>
      <c r="X427" s="60">
        <f t="shared" si="42"/>
        <v>123.60667392637652</v>
      </c>
      <c r="AC427" s="53"/>
      <c r="AL427" s="65">
        <f>_xlfn.IFERROR(INDEX('Tabela PW'!$T:$T,'Słownik PW'!C427,1),"")</f>
        <v>4937654</v>
      </c>
    </row>
    <row r="428" spans="1:38" ht="15">
      <c r="A428" s="4" t="s">
        <v>433</v>
      </c>
      <c r="B428" s="5" t="s">
        <v>683</v>
      </c>
      <c r="C428" s="49" t="s">
        <v>438</v>
      </c>
      <c r="D428" s="349">
        <f t="shared" si="38"/>
        <v>16</v>
      </c>
      <c r="E428" s="350" t="s">
        <v>1133</v>
      </c>
      <c r="F428" s="51" t="s">
        <v>25</v>
      </c>
      <c r="G428" s="351" t="s">
        <v>683</v>
      </c>
      <c r="H428" s="351" t="s">
        <v>2232</v>
      </c>
      <c r="I428" s="351" t="s">
        <v>2233</v>
      </c>
      <c r="J428" s="351" t="s">
        <v>4127</v>
      </c>
      <c r="K428" s="354">
        <v>4001427</v>
      </c>
      <c r="L428" s="355">
        <v>4352854</v>
      </c>
      <c r="M428" s="354">
        <v>4209346</v>
      </c>
      <c r="N428" s="355">
        <v>3678994</v>
      </c>
      <c r="O428" s="355">
        <v>3617102</v>
      </c>
      <c r="P428" s="355">
        <v>3977479</v>
      </c>
      <c r="Q428" s="355">
        <v>4015584</v>
      </c>
      <c r="R428" s="355">
        <v>4812263</v>
      </c>
      <c r="S428" s="355">
        <v>4913892</v>
      </c>
      <c r="T428" s="355">
        <v>4184257</v>
      </c>
      <c r="U428" s="59">
        <f t="shared" si="39"/>
        <v>3617102</v>
      </c>
      <c r="V428" s="59">
        <f t="shared" si="40"/>
        <v>4913892</v>
      </c>
      <c r="W428" s="59">
        <f t="shared" si="41"/>
        <v>4176319.8</v>
      </c>
      <c r="X428" s="60">
        <f t="shared" si="42"/>
        <v>104.56911996645198</v>
      </c>
      <c r="AC428" s="53"/>
      <c r="AL428" s="65">
        <f>_xlfn.IFERROR(INDEX('Tabela PW'!$T:$T,'Słownik PW'!C428,1),"")</f>
        <v>4184257</v>
      </c>
    </row>
    <row r="429" spans="1:38" ht="15">
      <c r="A429" s="4" t="s">
        <v>433</v>
      </c>
      <c r="B429" s="5" t="s">
        <v>683</v>
      </c>
      <c r="C429" s="49" t="s">
        <v>439</v>
      </c>
      <c r="D429" s="349">
        <f t="shared" si="38"/>
        <v>43</v>
      </c>
      <c r="E429" s="350" t="s">
        <v>1134</v>
      </c>
      <c r="F429" s="51" t="s">
        <v>25</v>
      </c>
      <c r="G429" s="351" t="s">
        <v>683</v>
      </c>
      <c r="H429" s="351" t="s">
        <v>2234</v>
      </c>
      <c r="I429" s="351" t="s">
        <v>2235</v>
      </c>
      <c r="J429" s="351" t="s">
        <v>4128</v>
      </c>
      <c r="K429" s="354">
        <v>6657900</v>
      </c>
      <c r="L429" s="355">
        <v>7503982</v>
      </c>
      <c r="M429" s="354">
        <v>7881625</v>
      </c>
      <c r="N429" s="355">
        <v>7660032</v>
      </c>
      <c r="O429" s="355">
        <v>7984650</v>
      </c>
      <c r="P429" s="355">
        <v>8345207</v>
      </c>
      <c r="Q429" s="355">
        <v>8793052</v>
      </c>
      <c r="R429" s="355">
        <v>9771182</v>
      </c>
      <c r="S429" s="355">
        <v>10106047</v>
      </c>
      <c r="T429" s="355">
        <v>9280068</v>
      </c>
      <c r="U429" s="59">
        <f t="shared" si="39"/>
        <v>6657900</v>
      </c>
      <c r="V429" s="59">
        <f t="shared" si="40"/>
        <v>10106047</v>
      </c>
      <c r="W429" s="59">
        <f t="shared" si="41"/>
        <v>8398374.5</v>
      </c>
      <c r="X429" s="60">
        <f t="shared" si="42"/>
        <v>139.3843103681341</v>
      </c>
      <c r="AC429" s="53"/>
      <c r="AL429" s="65">
        <f>_xlfn.IFERROR(INDEX('Tabela PW'!$T:$T,'Słownik PW'!C429,1),"")</f>
        <v>9280068</v>
      </c>
    </row>
    <row r="430" spans="1:38" ht="15">
      <c r="A430" s="4" t="s">
        <v>433</v>
      </c>
      <c r="B430" s="5" t="s">
        <v>683</v>
      </c>
      <c r="C430" s="49" t="s">
        <v>440</v>
      </c>
      <c r="D430" s="349">
        <f t="shared" si="38"/>
        <v>21</v>
      </c>
      <c r="E430" s="350" t="s">
        <v>1135</v>
      </c>
      <c r="F430" s="51" t="s">
        <v>25</v>
      </c>
      <c r="G430" s="351" t="s">
        <v>683</v>
      </c>
      <c r="H430" s="351" t="s">
        <v>2236</v>
      </c>
      <c r="I430" s="351" t="s">
        <v>2237</v>
      </c>
      <c r="J430" s="351" t="s">
        <v>4129</v>
      </c>
      <c r="K430" s="354">
        <v>2113338</v>
      </c>
      <c r="L430" s="355">
        <v>2295593</v>
      </c>
      <c r="M430" s="354">
        <v>1969247</v>
      </c>
      <c r="N430" s="355">
        <v>2147422</v>
      </c>
      <c r="O430" s="355">
        <v>2210688</v>
      </c>
      <c r="P430" s="355">
        <v>2371099</v>
      </c>
      <c r="Q430" s="355">
        <v>2504150</v>
      </c>
      <c r="R430" s="355">
        <v>2993658</v>
      </c>
      <c r="S430" s="355">
        <v>3184925</v>
      </c>
      <c r="T430" s="355">
        <v>2665097</v>
      </c>
      <c r="U430" s="59">
        <f t="shared" si="39"/>
        <v>1969247</v>
      </c>
      <c r="V430" s="59">
        <f t="shared" si="40"/>
        <v>3184925</v>
      </c>
      <c r="W430" s="59">
        <f t="shared" si="41"/>
        <v>2445521.7</v>
      </c>
      <c r="X430" s="60">
        <f t="shared" si="42"/>
        <v>126.10841237890011</v>
      </c>
      <c r="AC430" s="53"/>
      <c r="AL430" s="65">
        <f>_xlfn.IFERROR(INDEX('Tabela PW'!$T:$T,'Słownik PW'!C430,1),"")</f>
        <v>2665097</v>
      </c>
    </row>
    <row r="431" spans="1:38" ht="15">
      <c r="A431" s="4" t="s">
        <v>433</v>
      </c>
      <c r="B431" s="5" t="s">
        <v>683</v>
      </c>
      <c r="C431" s="49" t="s">
        <v>441</v>
      </c>
      <c r="D431" s="349">
        <f t="shared" si="38"/>
        <v>22</v>
      </c>
      <c r="E431" s="350" t="s">
        <v>1136</v>
      </c>
      <c r="F431" s="51" t="s">
        <v>25</v>
      </c>
      <c r="G431" s="351" t="s">
        <v>683</v>
      </c>
      <c r="H431" s="351" t="s">
        <v>2238</v>
      </c>
      <c r="I431" s="351" t="s">
        <v>2239</v>
      </c>
      <c r="J431" s="351" t="s">
        <v>4130</v>
      </c>
      <c r="K431" s="354">
        <v>513363</v>
      </c>
      <c r="L431" s="355">
        <v>519000</v>
      </c>
      <c r="M431" s="354">
        <v>812651</v>
      </c>
      <c r="N431" s="355">
        <v>893819</v>
      </c>
      <c r="O431" s="355">
        <v>974905</v>
      </c>
      <c r="P431" s="355">
        <v>1058546</v>
      </c>
      <c r="Q431" s="366">
        <v>1124766</v>
      </c>
      <c r="R431" s="355">
        <v>1192185</v>
      </c>
      <c r="S431" s="355">
        <v>1322952</v>
      </c>
      <c r="T431" s="355">
        <v>1202545</v>
      </c>
      <c r="U431" s="59">
        <f t="shared" si="39"/>
        <v>513363</v>
      </c>
      <c r="V431" s="59">
        <f t="shared" si="40"/>
        <v>1322952</v>
      </c>
      <c r="W431" s="59">
        <f t="shared" si="41"/>
        <v>961473.2</v>
      </c>
      <c r="X431" s="60">
        <f t="shared" si="42"/>
        <v>234.2484752504563</v>
      </c>
      <c r="AC431" s="53"/>
      <c r="AL431" s="65">
        <f>_xlfn.IFERROR(INDEX('Tabela PW'!$T:$T,'Słownik PW'!C431,1),"")</f>
        <v>1202545</v>
      </c>
    </row>
    <row r="432" spans="1:38" ht="15">
      <c r="A432" s="4" t="s">
        <v>433</v>
      </c>
      <c r="B432" s="5" t="s">
        <v>683</v>
      </c>
      <c r="C432" s="49" t="s">
        <v>442</v>
      </c>
      <c r="D432" s="349">
        <f t="shared" si="38"/>
        <v>13</v>
      </c>
      <c r="E432" s="350" t="s">
        <v>1137</v>
      </c>
      <c r="F432" s="51" t="s">
        <v>25</v>
      </c>
      <c r="G432" s="351" t="s">
        <v>683</v>
      </c>
      <c r="H432" s="351" t="s">
        <v>2240</v>
      </c>
      <c r="I432" s="351" t="s">
        <v>2241</v>
      </c>
      <c r="J432" s="351" t="s">
        <v>4131</v>
      </c>
      <c r="K432" s="354">
        <v>4533947</v>
      </c>
      <c r="L432" s="355">
        <v>4906147</v>
      </c>
      <c r="M432" s="354">
        <v>3440478</v>
      </c>
      <c r="N432" s="355">
        <v>3455720</v>
      </c>
      <c r="O432" s="355">
        <v>3748025</v>
      </c>
      <c r="P432" s="355">
        <v>3876524</v>
      </c>
      <c r="Q432" s="355">
        <v>4096547</v>
      </c>
      <c r="R432" s="355">
        <v>4200068</v>
      </c>
      <c r="S432" s="355">
        <v>4311005</v>
      </c>
      <c r="T432" s="355">
        <v>4106285</v>
      </c>
      <c r="U432" s="59">
        <f t="shared" si="39"/>
        <v>3440478</v>
      </c>
      <c r="V432" s="59">
        <f t="shared" si="40"/>
        <v>4906147</v>
      </c>
      <c r="W432" s="59">
        <f t="shared" si="41"/>
        <v>4067474.6</v>
      </c>
      <c r="X432" s="60">
        <f t="shared" si="42"/>
        <v>90.56755625947987</v>
      </c>
      <c r="AC432" s="53"/>
      <c r="AL432" s="65">
        <f>_xlfn.IFERROR(INDEX('Tabela PW'!$T:$T,'Słownik PW'!C432,1),"")</f>
        <v>4106285</v>
      </c>
    </row>
    <row r="433" spans="1:38" ht="15">
      <c r="A433" s="4" t="s">
        <v>433</v>
      </c>
      <c r="B433" s="5" t="s">
        <v>683</v>
      </c>
      <c r="C433" s="49" t="s">
        <v>443</v>
      </c>
      <c r="D433" s="349">
        <f t="shared" si="38"/>
        <v>25</v>
      </c>
      <c r="E433" s="350" t="s">
        <v>1138</v>
      </c>
      <c r="F433" s="51" t="s">
        <v>25</v>
      </c>
      <c r="G433" s="351" t="s">
        <v>683</v>
      </c>
      <c r="H433" s="351" t="s">
        <v>2242</v>
      </c>
      <c r="I433" s="351" t="s">
        <v>2243</v>
      </c>
      <c r="J433" s="351" t="s">
        <v>4132</v>
      </c>
      <c r="K433" s="354">
        <v>834722</v>
      </c>
      <c r="L433" s="355">
        <v>806612</v>
      </c>
      <c r="M433" s="354">
        <v>1353478</v>
      </c>
      <c r="N433" s="355">
        <v>1460317</v>
      </c>
      <c r="O433" s="355">
        <v>1640373</v>
      </c>
      <c r="P433" s="355">
        <v>1704519</v>
      </c>
      <c r="Q433" s="366">
        <v>1741065</v>
      </c>
      <c r="R433" s="355">
        <v>2117787</v>
      </c>
      <c r="S433" s="355">
        <v>2342639</v>
      </c>
      <c r="T433" s="355">
        <v>2188001</v>
      </c>
      <c r="U433" s="59">
        <f t="shared" si="39"/>
        <v>806612</v>
      </c>
      <c r="V433" s="59">
        <f t="shared" si="40"/>
        <v>2342639</v>
      </c>
      <c r="W433" s="59">
        <f t="shared" si="41"/>
        <v>1618951.3</v>
      </c>
      <c r="X433" s="60">
        <f t="shared" si="42"/>
        <v>262.1233177033791</v>
      </c>
      <c r="AC433" s="53"/>
      <c r="AL433" s="65">
        <f>_xlfn.IFERROR(INDEX('Tabela PW'!$T:$T,'Słownik PW'!C433,1),"")</f>
        <v>2188001</v>
      </c>
    </row>
    <row r="434" spans="1:38" ht="15">
      <c r="A434" s="4" t="s">
        <v>433</v>
      </c>
      <c r="B434" s="5" t="s">
        <v>683</v>
      </c>
      <c r="C434" s="49" t="s">
        <v>444</v>
      </c>
      <c r="D434" s="349">
        <f t="shared" si="38"/>
        <v>17</v>
      </c>
      <c r="E434" s="350" t="s">
        <v>1139</v>
      </c>
      <c r="F434" s="51" t="s">
        <v>25</v>
      </c>
      <c r="G434" s="351" t="s">
        <v>683</v>
      </c>
      <c r="H434" s="351" t="s">
        <v>2244</v>
      </c>
      <c r="I434" s="351" t="s">
        <v>2245</v>
      </c>
      <c r="J434" s="351" t="s">
        <v>4133</v>
      </c>
      <c r="K434" s="354">
        <v>455158</v>
      </c>
      <c r="L434" s="355">
        <v>453110</v>
      </c>
      <c r="M434" s="354">
        <v>676292</v>
      </c>
      <c r="N434" s="355">
        <v>681570</v>
      </c>
      <c r="O434" s="355">
        <v>768852</v>
      </c>
      <c r="P434" s="355">
        <v>754575</v>
      </c>
      <c r="Q434" s="366">
        <v>830512</v>
      </c>
      <c r="R434" s="355">
        <v>1066990</v>
      </c>
      <c r="S434" s="355">
        <v>1252620</v>
      </c>
      <c r="T434" s="355">
        <v>1207942</v>
      </c>
      <c r="U434" s="59">
        <f t="shared" si="39"/>
        <v>453110</v>
      </c>
      <c r="V434" s="59">
        <f t="shared" si="40"/>
        <v>1252620</v>
      </c>
      <c r="W434" s="59">
        <f t="shared" si="41"/>
        <v>814762.1</v>
      </c>
      <c r="X434" s="60">
        <f t="shared" si="42"/>
        <v>265.3896009737278</v>
      </c>
      <c r="AC434" s="53"/>
      <c r="AL434" s="65">
        <f>_xlfn.IFERROR(INDEX('Tabela PW'!$T:$T,'Słownik PW'!C434,1),"")</f>
        <v>1207942</v>
      </c>
    </row>
    <row r="435" spans="1:38" ht="15">
      <c r="A435" s="4" t="s">
        <v>433</v>
      </c>
      <c r="B435" s="5" t="s">
        <v>683</v>
      </c>
      <c r="C435" s="49" t="s">
        <v>445</v>
      </c>
      <c r="D435" s="349">
        <f t="shared" si="38"/>
        <v>19</v>
      </c>
      <c r="E435" s="350" t="s">
        <v>1140</v>
      </c>
      <c r="F435" s="51" t="s">
        <v>25</v>
      </c>
      <c r="G435" s="351" t="s">
        <v>683</v>
      </c>
      <c r="H435" s="351" t="s">
        <v>2246</v>
      </c>
      <c r="I435" s="351" t="s">
        <v>2247</v>
      </c>
      <c r="J435" s="351" t="s">
        <v>4134</v>
      </c>
      <c r="K435" s="354">
        <v>1897333</v>
      </c>
      <c r="L435" s="355">
        <v>2181439</v>
      </c>
      <c r="M435" s="354">
        <v>3211415</v>
      </c>
      <c r="N435" s="355">
        <v>3189266</v>
      </c>
      <c r="O435" s="355">
        <v>3323084</v>
      </c>
      <c r="P435" s="355">
        <v>3401842</v>
      </c>
      <c r="Q435" s="355">
        <v>3622196</v>
      </c>
      <c r="R435" s="355">
        <v>3704107</v>
      </c>
      <c r="S435" s="355">
        <v>3777791</v>
      </c>
      <c r="T435" s="355">
        <v>3662449</v>
      </c>
      <c r="U435" s="59">
        <f t="shared" si="39"/>
        <v>1897333</v>
      </c>
      <c r="V435" s="59">
        <f t="shared" si="40"/>
        <v>3777791</v>
      </c>
      <c r="W435" s="59">
        <f t="shared" si="41"/>
        <v>3197092.2</v>
      </c>
      <c r="X435" s="60">
        <f t="shared" si="42"/>
        <v>193.03142885302685</v>
      </c>
      <c r="AC435" s="53"/>
      <c r="AL435" s="65">
        <f>_xlfn.IFERROR(INDEX('Tabela PW'!$T:$T,'Słownik PW'!C435,1),"")</f>
        <v>3662449</v>
      </c>
    </row>
    <row r="436" spans="1:38" ht="15">
      <c r="A436" s="4" t="s">
        <v>433</v>
      </c>
      <c r="B436" s="5" t="s">
        <v>683</v>
      </c>
      <c r="C436" s="49" t="s">
        <v>446</v>
      </c>
      <c r="D436" s="349">
        <f t="shared" si="38"/>
        <v>34</v>
      </c>
      <c r="E436" s="350" t="s">
        <v>1141</v>
      </c>
      <c r="F436" s="51" t="s">
        <v>25</v>
      </c>
      <c r="G436" s="351" t="s">
        <v>683</v>
      </c>
      <c r="H436" s="351" t="s">
        <v>2248</v>
      </c>
      <c r="I436" s="351" t="s">
        <v>2249</v>
      </c>
      <c r="J436" s="351" t="s">
        <v>4135</v>
      </c>
      <c r="K436" s="354">
        <v>1126908</v>
      </c>
      <c r="L436" s="355">
        <v>1149802</v>
      </c>
      <c r="M436" s="354">
        <v>1209989</v>
      </c>
      <c r="N436" s="355">
        <v>1124910</v>
      </c>
      <c r="O436" s="355">
        <v>1061904</v>
      </c>
      <c r="P436" s="355">
        <v>1164471</v>
      </c>
      <c r="Q436" s="355">
        <v>1208000</v>
      </c>
      <c r="R436" s="355">
        <v>1245836</v>
      </c>
      <c r="S436" s="355">
        <v>1207551</v>
      </c>
      <c r="T436" s="355">
        <v>1169687</v>
      </c>
      <c r="U436" s="59">
        <f t="shared" si="39"/>
        <v>1061904</v>
      </c>
      <c r="V436" s="59">
        <f t="shared" si="40"/>
        <v>1245836</v>
      </c>
      <c r="W436" s="59">
        <f t="shared" si="41"/>
        <v>1166905.8</v>
      </c>
      <c r="X436" s="60">
        <f t="shared" si="42"/>
        <v>103.79613952514313</v>
      </c>
      <c r="AC436" s="53"/>
      <c r="AL436" s="65">
        <f>_xlfn.IFERROR(INDEX('Tabela PW'!$T:$T,'Słownik PW'!C436,1),"")</f>
        <v>1169687</v>
      </c>
    </row>
    <row r="437" spans="1:38" ht="15">
      <c r="A437" s="4" t="s">
        <v>433</v>
      </c>
      <c r="B437" s="5" t="s">
        <v>683</v>
      </c>
      <c r="C437" s="49" t="s">
        <v>447</v>
      </c>
      <c r="D437" s="349">
        <f t="shared" si="38"/>
        <v>13</v>
      </c>
      <c r="E437" s="350" t="s">
        <v>1142</v>
      </c>
      <c r="F437" s="51" t="s">
        <v>25</v>
      </c>
      <c r="G437" s="351" t="s">
        <v>683</v>
      </c>
      <c r="H437" s="351" t="s">
        <v>2250</v>
      </c>
      <c r="I437" s="351" t="s">
        <v>2251</v>
      </c>
      <c r="J437" s="351" t="s">
        <v>4136</v>
      </c>
      <c r="K437" s="354">
        <v>259849</v>
      </c>
      <c r="L437" s="355">
        <v>245930</v>
      </c>
      <c r="M437" s="354">
        <v>156242</v>
      </c>
      <c r="N437" s="355">
        <v>174422</v>
      </c>
      <c r="O437" s="355">
        <v>319015</v>
      </c>
      <c r="P437" s="355">
        <v>363941</v>
      </c>
      <c r="Q437" s="355">
        <v>338151</v>
      </c>
      <c r="R437" s="355">
        <v>373903</v>
      </c>
      <c r="S437" s="355">
        <v>400444</v>
      </c>
      <c r="T437" s="355">
        <v>321983</v>
      </c>
      <c r="U437" s="59">
        <f t="shared" si="39"/>
        <v>156242</v>
      </c>
      <c r="V437" s="59">
        <f t="shared" si="40"/>
        <v>400444</v>
      </c>
      <c r="W437" s="59">
        <f t="shared" si="41"/>
        <v>295388</v>
      </c>
      <c r="X437" s="60">
        <f t="shared" si="42"/>
        <v>123.91157941727695</v>
      </c>
      <c r="AC437" s="53"/>
      <c r="AL437" s="65">
        <f>_xlfn.IFERROR(INDEX('Tabela PW'!$T:$T,'Słownik PW'!C437,1),"")</f>
        <v>321983</v>
      </c>
    </row>
    <row r="438" spans="1:38" ht="15">
      <c r="A438" s="4" t="s">
        <v>433</v>
      </c>
      <c r="B438" s="5" t="s">
        <v>683</v>
      </c>
      <c r="C438" s="49" t="s">
        <v>448</v>
      </c>
      <c r="D438" s="349">
        <f t="shared" si="38"/>
        <v>21</v>
      </c>
      <c r="E438" s="350" t="s">
        <v>1143</v>
      </c>
      <c r="F438" s="51" t="s">
        <v>361</v>
      </c>
      <c r="G438" s="351" t="s">
        <v>676</v>
      </c>
      <c r="H438" s="351" t="s">
        <v>2252</v>
      </c>
      <c r="I438" s="351" t="s">
        <v>2253</v>
      </c>
      <c r="J438" s="351" t="s">
        <v>4137</v>
      </c>
      <c r="K438" s="354">
        <v>14717</v>
      </c>
      <c r="L438" s="355">
        <v>18393</v>
      </c>
      <c r="M438" s="354">
        <v>20500</v>
      </c>
      <c r="N438" s="355">
        <v>18903</v>
      </c>
      <c r="O438" s="355">
        <v>19398</v>
      </c>
      <c r="P438" s="355">
        <v>18560</v>
      </c>
      <c r="Q438" s="355">
        <v>18576</v>
      </c>
      <c r="R438" s="355">
        <v>19355</v>
      </c>
      <c r="S438" s="355">
        <v>21119</v>
      </c>
      <c r="T438" s="355">
        <v>17445</v>
      </c>
      <c r="U438" s="59">
        <f t="shared" si="39"/>
        <v>14717</v>
      </c>
      <c r="V438" s="59">
        <f t="shared" si="40"/>
        <v>21119</v>
      </c>
      <c r="W438" s="59">
        <f t="shared" si="41"/>
        <v>18696.6</v>
      </c>
      <c r="X438" s="60">
        <f t="shared" si="42"/>
        <v>118.5363864918122</v>
      </c>
      <c r="AC438" s="53"/>
      <c r="AL438" s="65">
        <f>_xlfn.IFERROR(INDEX('Tabela PW'!$T:$T,'Słownik PW'!C438,1),"")</f>
        <v>17445</v>
      </c>
    </row>
    <row r="439" spans="1:38" ht="15">
      <c r="A439" s="4" t="s">
        <v>433</v>
      </c>
      <c r="B439" s="5" t="s">
        <v>683</v>
      </c>
      <c r="C439" s="49" t="s">
        <v>448</v>
      </c>
      <c r="D439" s="349">
        <f t="shared" si="38"/>
        <v>21</v>
      </c>
      <c r="E439" s="350" t="s">
        <v>1144</v>
      </c>
      <c r="F439" s="51" t="s">
        <v>25</v>
      </c>
      <c r="G439" s="351" t="s">
        <v>683</v>
      </c>
      <c r="H439" s="351" t="s">
        <v>2254</v>
      </c>
      <c r="I439" s="351" t="s">
        <v>2255</v>
      </c>
      <c r="J439" s="351" t="s">
        <v>4138</v>
      </c>
      <c r="K439" s="354">
        <v>158254</v>
      </c>
      <c r="L439" s="355">
        <v>165436</v>
      </c>
      <c r="M439" s="354">
        <v>162269</v>
      </c>
      <c r="N439" s="355">
        <v>141237</v>
      </c>
      <c r="O439" s="355">
        <v>141588</v>
      </c>
      <c r="P439" s="355">
        <v>125632</v>
      </c>
      <c r="Q439" s="355">
        <v>125302</v>
      </c>
      <c r="R439" s="355">
        <v>141096</v>
      </c>
      <c r="S439" s="355">
        <v>146671</v>
      </c>
      <c r="T439" s="355">
        <v>117203</v>
      </c>
      <c r="U439" s="59">
        <f t="shared" si="39"/>
        <v>117203</v>
      </c>
      <c r="V439" s="59">
        <f t="shared" si="40"/>
        <v>165436</v>
      </c>
      <c r="W439" s="59">
        <f t="shared" si="41"/>
        <v>142468.8</v>
      </c>
      <c r="X439" s="60">
        <f t="shared" si="42"/>
        <v>74.06005535405107</v>
      </c>
      <c r="AC439" s="53"/>
      <c r="AL439" s="65">
        <f>_xlfn.IFERROR(INDEX('Tabela PW'!$T:$T,'Słownik PW'!C439,1),"")</f>
        <v>117203</v>
      </c>
    </row>
    <row r="440" spans="1:38" ht="15">
      <c r="A440" s="4" t="s">
        <v>433</v>
      </c>
      <c r="B440" s="5" t="s">
        <v>683</v>
      </c>
      <c r="C440" s="49" t="s">
        <v>449</v>
      </c>
      <c r="D440" s="349">
        <f t="shared" si="38"/>
        <v>21</v>
      </c>
      <c r="E440" s="350" t="s">
        <v>1145</v>
      </c>
      <c r="F440" s="51" t="s">
        <v>361</v>
      </c>
      <c r="G440" s="351" t="s">
        <v>676</v>
      </c>
      <c r="H440" s="351" t="s">
        <v>2256</v>
      </c>
      <c r="I440" s="351" t="s">
        <v>2257</v>
      </c>
      <c r="J440" s="351" t="s">
        <v>4139</v>
      </c>
      <c r="K440" s="354">
        <v>92632</v>
      </c>
      <c r="L440" s="355">
        <v>109114</v>
      </c>
      <c r="M440" s="354">
        <v>230090</v>
      </c>
      <c r="N440" s="355">
        <v>256648</v>
      </c>
      <c r="O440" s="355">
        <v>276939</v>
      </c>
      <c r="P440" s="355">
        <v>316607</v>
      </c>
      <c r="Q440" s="355">
        <v>358766</v>
      </c>
      <c r="R440" s="355">
        <v>427440</v>
      </c>
      <c r="S440" s="355">
        <v>346721</v>
      </c>
      <c r="T440" s="355">
        <v>333724</v>
      </c>
      <c r="U440" s="59">
        <f t="shared" si="39"/>
        <v>92632</v>
      </c>
      <c r="V440" s="59">
        <f t="shared" si="40"/>
        <v>427440</v>
      </c>
      <c r="W440" s="59">
        <f t="shared" si="41"/>
        <v>274868.1</v>
      </c>
      <c r="X440" s="60">
        <f t="shared" si="42"/>
        <v>360.2685896882287</v>
      </c>
      <c r="AC440" s="53"/>
      <c r="AL440" s="65">
        <f>_xlfn.IFERROR(INDEX('Tabela PW'!$T:$T,'Słownik PW'!C440,1),"")</f>
        <v>333724</v>
      </c>
    </row>
    <row r="441" spans="1:38" ht="15">
      <c r="A441" s="4" t="s">
        <v>433</v>
      </c>
      <c r="B441" s="5" t="s">
        <v>683</v>
      </c>
      <c r="C441" s="49" t="s">
        <v>449</v>
      </c>
      <c r="D441" s="349">
        <f t="shared" si="38"/>
        <v>21</v>
      </c>
      <c r="E441" s="350" t="s">
        <v>1146</v>
      </c>
      <c r="F441" s="51" t="s">
        <v>25</v>
      </c>
      <c r="G441" s="351" t="s">
        <v>683</v>
      </c>
      <c r="H441" s="351" t="s">
        <v>2258</v>
      </c>
      <c r="I441" s="351" t="s">
        <v>2259</v>
      </c>
      <c r="J441" s="351" t="s">
        <v>4140</v>
      </c>
      <c r="K441" s="354">
        <v>225496</v>
      </c>
      <c r="L441" s="355">
        <v>242387</v>
      </c>
      <c r="M441" s="354">
        <v>429939</v>
      </c>
      <c r="N441" s="355">
        <v>466149</v>
      </c>
      <c r="O441" s="355">
        <v>505312</v>
      </c>
      <c r="P441" s="355">
        <v>560617</v>
      </c>
      <c r="Q441" s="355">
        <v>606490</v>
      </c>
      <c r="R441" s="355">
        <v>629407</v>
      </c>
      <c r="S441" s="355">
        <v>647256</v>
      </c>
      <c r="T441" s="355">
        <v>674707</v>
      </c>
      <c r="U441" s="59">
        <f t="shared" si="39"/>
        <v>225496</v>
      </c>
      <c r="V441" s="59">
        <f t="shared" si="40"/>
        <v>674707</v>
      </c>
      <c r="W441" s="59">
        <f t="shared" si="41"/>
        <v>498776</v>
      </c>
      <c r="X441" s="60">
        <f t="shared" si="42"/>
        <v>299.2101855465286</v>
      </c>
      <c r="AC441" s="53"/>
      <c r="AL441" s="65">
        <f>_xlfn.IFERROR(INDEX('Tabela PW'!$T:$T,'Słownik PW'!C441,1),"")</f>
        <v>674707</v>
      </c>
    </row>
    <row r="442" spans="1:38" ht="15">
      <c r="A442" s="4" t="s">
        <v>433</v>
      </c>
      <c r="B442" s="5" t="s">
        <v>683</v>
      </c>
      <c r="C442" s="49" t="s">
        <v>450</v>
      </c>
      <c r="D442" s="349">
        <f t="shared" si="38"/>
        <v>12</v>
      </c>
      <c r="E442" s="350" t="s">
        <v>1147</v>
      </c>
      <c r="F442" s="51" t="s">
        <v>25</v>
      </c>
      <c r="G442" s="351" t="s">
        <v>683</v>
      </c>
      <c r="H442" s="351" t="s">
        <v>2260</v>
      </c>
      <c r="I442" s="351" t="s">
        <v>2261</v>
      </c>
      <c r="J442" s="351" t="s">
        <v>4141</v>
      </c>
      <c r="K442" s="354">
        <v>383750</v>
      </c>
      <c r="L442" s="355">
        <v>407823</v>
      </c>
      <c r="M442" s="354">
        <v>592208</v>
      </c>
      <c r="N442" s="355">
        <v>607386</v>
      </c>
      <c r="O442" s="355">
        <v>646900</v>
      </c>
      <c r="P442" s="355">
        <v>686249</v>
      </c>
      <c r="Q442" s="355">
        <v>731792</v>
      </c>
      <c r="R442" s="355">
        <v>770503</v>
      </c>
      <c r="S442" s="355">
        <v>793927</v>
      </c>
      <c r="T442" s="355">
        <v>791910</v>
      </c>
      <c r="U442" s="59">
        <f t="shared" si="39"/>
        <v>383750</v>
      </c>
      <c r="V442" s="59">
        <f t="shared" si="40"/>
        <v>793927</v>
      </c>
      <c r="W442" s="59">
        <f t="shared" si="41"/>
        <v>641244.8</v>
      </c>
      <c r="X442" s="60">
        <f t="shared" si="42"/>
        <v>206.36091205211727</v>
      </c>
      <c r="AC442" s="53"/>
      <c r="AL442" s="65">
        <f>_xlfn.IFERROR(INDEX('Tabela PW'!$T:$T,'Słownik PW'!C442,1),"")</f>
        <v>791910</v>
      </c>
    </row>
    <row r="443" spans="1:38" ht="15">
      <c r="A443" s="4" t="s">
        <v>433</v>
      </c>
      <c r="B443" s="5" t="s">
        <v>683</v>
      </c>
      <c r="C443" s="49" t="s">
        <v>451</v>
      </c>
      <c r="D443" s="349">
        <f t="shared" si="38"/>
        <v>91</v>
      </c>
      <c r="E443" s="350" t="s">
        <v>1148</v>
      </c>
      <c r="F443" s="51" t="s">
        <v>25</v>
      </c>
      <c r="G443" s="351" t="s">
        <v>683</v>
      </c>
      <c r="H443" s="351" t="s">
        <v>2262</v>
      </c>
      <c r="I443" s="351" t="s">
        <v>2263</v>
      </c>
      <c r="J443" s="351" t="s">
        <v>4142</v>
      </c>
      <c r="K443" s="354">
        <v>545356</v>
      </c>
      <c r="L443" s="355">
        <v>596775</v>
      </c>
      <c r="M443" s="354">
        <v>577874</v>
      </c>
      <c r="N443" s="355">
        <v>494490</v>
      </c>
      <c r="O443" s="355">
        <v>506558</v>
      </c>
      <c r="P443" s="355">
        <v>477389</v>
      </c>
      <c r="Q443" s="355">
        <v>511579</v>
      </c>
      <c r="R443" s="355">
        <v>440205</v>
      </c>
      <c r="S443" s="355">
        <v>383377</v>
      </c>
      <c r="T443" s="355">
        <v>368606</v>
      </c>
      <c r="U443" s="59">
        <f t="shared" si="39"/>
        <v>368606</v>
      </c>
      <c r="V443" s="59">
        <f t="shared" si="40"/>
        <v>596775</v>
      </c>
      <c r="W443" s="59">
        <f t="shared" si="41"/>
        <v>490220.9</v>
      </c>
      <c r="X443" s="60">
        <f t="shared" si="42"/>
        <v>67.58997792267803</v>
      </c>
      <c r="AC443" s="53"/>
      <c r="AL443" s="65">
        <f>_xlfn.IFERROR(INDEX('Tabela PW'!$T:$T,'Słownik PW'!C443,1),"")</f>
        <v>368606</v>
      </c>
    </row>
    <row r="444" spans="1:38" ht="15">
      <c r="A444" s="4" t="s">
        <v>433</v>
      </c>
      <c r="B444" s="5" t="s">
        <v>683</v>
      </c>
      <c r="C444" s="49" t="s">
        <v>452</v>
      </c>
      <c r="D444" s="349">
        <f t="shared" si="38"/>
        <v>96</v>
      </c>
      <c r="E444" s="350" t="s">
        <v>1149</v>
      </c>
      <c r="F444" s="51" t="s">
        <v>25</v>
      </c>
      <c r="G444" s="351" t="s">
        <v>683</v>
      </c>
      <c r="H444" s="351" t="s">
        <v>2264</v>
      </c>
      <c r="I444" s="351" t="s">
        <v>2265</v>
      </c>
      <c r="J444" s="351" t="s">
        <v>4143</v>
      </c>
      <c r="K444" s="354">
        <v>79438</v>
      </c>
      <c r="L444" s="355">
        <v>86503</v>
      </c>
      <c r="M444" s="354">
        <v>85121</v>
      </c>
      <c r="N444" s="355">
        <v>107579</v>
      </c>
      <c r="O444" s="355">
        <v>116517</v>
      </c>
      <c r="P444" s="355">
        <v>120445</v>
      </c>
      <c r="Q444" s="366">
        <v>124852</v>
      </c>
      <c r="R444" s="355">
        <v>132788</v>
      </c>
      <c r="S444" s="355">
        <v>152421</v>
      </c>
      <c r="T444" s="355">
        <v>160580</v>
      </c>
      <c r="U444" s="59">
        <f t="shared" si="39"/>
        <v>79438</v>
      </c>
      <c r="V444" s="59">
        <f t="shared" si="40"/>
        <v>160580</v>
      </c>
      <c r="W444" s="59">
        <f t="shared" si="41"/>
        <v>116624.4</v>
      </c>
      <c r="X444" s="60">
        <f t="shared" si="42"/>
        <v>202.14506911050125</v>
      </c>
      <c r="AC444" s="53"/>
      <c r="AL444" s="65">
        <f>_xlfn.IFERROR(INDEX('Tabela PW'!$T:$T,'Słownik PW'!C444,1),"")</f>
        <v>160580</v>
      </c>
    </row>
    <row r="445" spans="1:38" ht="15">
      <c r="A445" s="4" t="s">
        <v>433</v>
      </c>
      <c r="B445" s="5" t="s">
        <v>683</v>
      </c>
      <c r="C445" s="49" t="s">
        <v>453</v>
      </c>
      <c r="D445" s="349">
        <f t="shared" si="38"/>
        <v>45</v>
      </c>
      <c r="E445" s="350" t="s">
        <v>1150</v>
      </c>
      <c r="F445" s="51" t="s">
        <v>25</v>
      </c>
      <c r="G445" s="351" t="s">
        <v>683</v>
      </c>
      <c r="H445" s="351" t="s">
        <v>2266</v>
      </c>
      <c r="I445" s="351" t="s">
        <v>2267</v>
      </c>
      <c r="J445" s="351" t="s">
        <v>4144</v>
      </c>
      <c r="K445" s="354">
        <v>239604</v>
      </c>
      <c r="L445" s="355">
        <v>181686</v>
      </c>
      <c r="M445" s="354">
        <v>181718</v>
      </c>
      <c r="N445" s="355">
        <v>206582</v>
      </c>
      <c r="O445" s="355">
        <v>222360</v>
      </c>
      <c r="P445" s="355">
        <v>231882</v>
      </c>
      <c r="Q445" s="355">
        <v>285512</v>
      </c>
      <c r="R445" s="355">
        <v>346818</v>
      </c>
      <c r="S445" s="355">
        <v>290134</v>
      </c>
      <c r="T445" s="355">
        <v>279129</v>
      </c>
      <c r="U445" s="59">
        <f t="shared" si="39"/>
        <v>181686</v>
      </c>
      <c r="V445" s="59">
        <f t="shared" si="40"/>
        <v>346818</v>
      </c>
      <c r="W445" s="59">
        <f t="shared" si="41"/>
        <v>246542.5</v>
      </c>
      <c r="X445" s="60">
        <f t="shared" si="42"/>
        <v>116.49596834777383</v>
      </c>
      <c r="AC445" s="53"/>
      <c r="AL445" s="65">
        <f>_xlfn.IFERROR(INDEX('Tabela PW'!$T:$T,'Słownik PW'!C445,1),"")</f>
        <v>279129</v>
      </c>
    </row>
    <row r="446" spans="1:38" ht="15">
      <c r="A446" s="4" t="s">
        <v>433</v>
      </c>
      <c r="B446" s="5" t="s">
        <v>683</v>
      </c>
      <c r="C446" s="49" t="s">
        <v>454</v>
      </c>
      <c r="D446" s="349">
        <f t="shared" si="38"/>
        <v>50</v>
      </c>
      <c r="E446" s="350" t="s">
        <v>1151</v>
      </c>
      <c r="F446" s="51" t="s">
        <v>25</v>
      </c>
      <c r="G446" s="351" t="s">
        <v>683</v>
      </c>
      <c r="H446" s="351" t="s">
        <v>2268</v>
      </c>
      <c r="I446" s="351" t="s">
        <v>2269</v>
      </c>
      <c r="J446" s="351" t="s">
        <v>4145</v>
      </c>
      <c r="K446" s="354">
        <v>18418</v>
      </c>
      <c r="L446" s="355">
        <v>15869</v>
      </c>
      <c r="M446" s="354">
        <v>4311</v>
      </c>
      <c r="N446" s="355">
        <v>5310</v>
      </c>
      <c r="O446" s="355">
        <v>13509</v>
      </c>
      <c r="P446" s="355">
        <v>12676</v>
      </c>
      <c r="Q446" s="355">
        <v>12065</v>
      </c>
      <c r="R446" s="355">
        <v>12594</v>
      </c>
      <c r="S446" s="355">
        <v>13056</v>
      </c>
      <c r="T446" s="355">
        <v>11978</v>
      </c>
      <c r="U446" s="59">
        <f t="shared" si="39"/>
        <v>4311</v>
      </c>
      <c r="V446" s="59">
        <f t="shared" si="40"/>
        <v>18418</v>
      </c>
      <c r="W446" s="59">
        <f t="shared" si="41"/>
        <v>11978.6</v>
      </c>
      <c r="X446" s="60">
        <f t="shared" si="42"/>
        <v>65.0342056683679</v>
      </c>
      <c r="AC446" s="53"/>
      <c r="AL446" s="65">
        <f>_xlfn.IFERROR(INDEX('Tabela PW'!$T:$T,'Słownik PW'!C446,1),"")</f>
        <v>11978</v>
      </c>
    </row>
    <row r="447" spans="1:38" ht="15">
      <c r="A447" s="4" t="s">
        <v>433</v>
      </c>
      <c r="B447" s="5" t="s">
        <v>683</v>
      </c>
      <c r="C447" s="49" t="s">
        <v>455</v>
      </c>
      <c r="D447" s="349">
        <f t="shared" si="38"/>
        <v>27</v>
      </c>
      <c r="E447" s="350" t="s">
        <v>1152</v>
      </c>
      <c r="F447" s="51" t="s">
        <v>139</v>
      </c>
      <c r="G447" s="351" t="s">
        <v>674</v>
      </c>
      <c r="H447" s="351" t="s">
        <v>2270</v>
      </c>
      <c r="I447" s="351" t="s">
        <v>2271</v>
      </c>
      <c r="J447" s="351" t="s">
        <v>4146</v>
      </c>
      <c r="K447" s="354">
        <v>1160621</v>
      </c>
      <c r="L447" s="355">
        <v>1259627</v>
      </c>
      <c r="M447" s="354">
        <v>1273890</v>
      </c>
      <c r="N447" s="355">
        <v>1161125</v>
      </c>
      <c r="O447" s="355">
        <v>1256238</v>
      </c>
      <c r="P447" s="355">
        <v>1283209</v>
      </c>
      <c r="Q447" s="355">
        <v>1191127</v>
      </c>
      <c r="R447" s="355">
        <v>1218077</v>
      </c>
      <c r="S447" s="355">
        <v>1188826</v>
      </c>
      <c r="T447" s="355">
        <v>1400163</v>
      </c>
      <c r="U447" s="59">
        <f t="shared" si="39"/>
        <v>1160621</v>
      </c>
      <c r="V447" s="59">
        <f t="shared" si="40"/>
        <v>1400163</v>
      </c>
      <c r="W447" s="59">
        <f t="shared" si="41"/>
        <v>1239290.3</v>
      </c>
      <c r="X447" s="60">
        <f t="shared" si="42"/>
        <v>120.63912336585328</v>
      </c>
      <c r="AC447" s="53"/>
      <c r="AL447" s="65">
        <f>_xlfn.IFERROR(INDEX('Tabela PW'!$T:$T,'Słownik PW'!C447,1),"")</f>
        <v>1400163</v>
      </c>
    </row>
    <row r="448" spans="1:38" ht="15">
      <c r="A448" s="4" t="s">
        <v>433</v>
      </c>
      <c r="B448" s="5" t="s">
        <v>683</v>
      </c>
      <c r="C448" s="49" t="s">
        <v>456</v>
      </c>
      <c r="D448" s="349">
        <f t="shared" si="38"/>
        <v>53</v>
      </c>
      <c r="E448" s="350" t="s">
        <v>1153</v>
      </c>
      <c r="F448" s="51" t="s">
        <v>25</v>
      </c>
      <c r="G448" s="351" t="s">
        <v>683</v>
      </c>
      <c r="H448" s="351" t="s">
        <v>2272</v>
      </c>
      <c r="I448" s="351" t="s">
        <v>2273</v>
      </c>
      <c r="J448" s="351" t="s">
        <v>4147</v>
      </c>
      <c r="K448" s="354">
        <v>8936</v>
      </c>
      <c r="L448" s="355">
        <v>4633</v>
      </c>
      <c r="M448" s="354">
        <v>6579</v>
      </c>
      <c r="N448" s="355">
        <v>7308</v>
      </c>
      <c r="O448" s="355">
        <v>7999</v>
      </c>
      <c r="P448" s="355">
        <v>557</v>
      </c>
      <c r="Q448" s="355">
        <v>1282</v>
      </c>
      <c r="R448" s="355">
        <v>1574</v>
      </c>
      <c r="S448" s="355">
        <v>3022</v>
      </c>
      <c r="T448" s="355">
        <v>3171</v>
      </c>
      <c r="U448" s="59">
        <f t="shared" si="39"/>
        <v>557</v>
      </c>
      <c r="V448" s="59">
        <f t="shared" si="40"/>
        <v>8936</v>
      </c>
      <c r="W448" s="59">
        <f t="shared" si="41"/>
        <v>4506.1</v>
      </c>
      <c r="X448" s="60">
        <f t="shared" si="42"/>
        <v>35.48567591763653</v>
      </c>
      <c r="AC448" s="53"/>
      <c r="AL448" s="65">
        <f>_xlfn.IFERROR(INDEX('Tabela PW'!$T:$T,'Słownik PW'!C448,1),"")</f>
        <v>3171</v>
      </c>
    </row>
    <row r="449" spans="1:38" ht="15">
      <c r="A449" s="4" t="s">
        <v>433</v>
      </c>
      <c r="B449" s="5" t="s">
        <v>683</v>
      </c>
      <c r="C449" s="49" t="s">
        <v>457</v>
      </c>
      <c r="D449" s="349">
        <f t="shared" si="38"/>
        <v>76</v>
      </c>
      <c r="E449" s="350" t="s">
        <v>1154</v>
      </c>
      <c r="F449" s="51" t="s">
        <v>25</v>
      </c>
      <c r="G449" s="351" t="s">
        <v>683</v>
      </c>
      <c r="H449" s="351" t="s">
        <v>2274</v>
      </c>
      <c r="I449" s="351" t="s">
        <v>2275</v>
      </c>
      <c r="J449" s="351" t="s">
        <v>4148</v>
      </c>
      <c r="K449" s="354">
        <v>5806</v>
      </c>
      <c r="L449" s="355">
        <v>7794</v>
      </c>
      <c r="M449" s="354">
        <v>3250</v>
      </c>
      <c r="N449" s="355">
        <v>7489</v>
      </c>
      <c r="O449" s="355">
        <v>6702</v>
      </c>
      <c r="P449" s="355">
        <v>6708</v>
      </c>
      <c r="Q449" s="355">
        <v>6533</v>
      </c>
      <c r="R449" s="355">
        <v>6417</v>
      </c>
      <c r="S449" s="355">
        <v>8027</v>
      </c>
      <c r="T449" s="355">
        <v>9257</v>
      </c>
      <c r="U449" s="59">
        <f t="shared" si="39"/>
        <v>3250</v>
      </c>
      <c r="V449" s="59">
        <f t="shared" si="40"/>
        <v>9257</v>
      </c>
      <c r="W449" s="59">
        <f t="shared" si="41"/>
        <v>6798.3</v>
      </c>
      <c r="X449" s="60">
        <f t="shared" si="42"/>
        <v>159.43851188425765</v>
      </c>
      <c r="AC449" s="53"/>
      <c r="AL449" s="65">
        <f>_xlfn.IFERROR(INDEX('Tabela PW'!$T:$T,'Słownik PW'!C449,1),"")</f>
        <v>9257</v>
      </c>
    </row>
    <row r="450" spans="1:38" ht="15">
      <c r="A450" s="4" t="s">
        <v>433</v>
      </c>
      <c r="B450" s="5" t="s">
        <v>683</v>
      </c>
      <c r="C450" s="49" t="s">
        <v>458</v>
      </c>
      <c r="D450" s="349">
        <f aca="true" t="shared" si="43" ref="D450:D512">LEN(C450)</f>
        <v>41</v>
      </c>
      <c r="E450" s="350" t="s">
        <v>1155</v>
      </c>
      <c r="F450" s="51" t="s">
        <v>25</v>
      </c>
      <c r="G450" s="351" t="s">
        <v>683</v>
      </c>
      <c r="H450" s="351" t="s">
        <v>2276</v>
      </c>
      <c r="I450" s="351" t="s">
        <v>2277</v>
      </c>
      <c r="J450" s="351" t="s">
        <v>4149</v>
      </c>
      <c r="K450" s="354">
        <v>91174</v>
      </c>
      <c r="L450" s="355">
        <v>84035</v>
      </c>
      <c r="M450" s="354">
        <v>95801</v>
      </c>
      <c r="N450" s="355">
        <v>91611</v>
      </c>
      <c r="O450" s="355">
        <v>86285</v>
      </c>
      <c r="P450" s="355">
        <v>68790</v>
      </c>
      <c r="Q450" s="355">
        <v>65731</v>
      </c>
      <c r="R450" s="355">
        <v>61907</v>
      </c>
      <c r="S450" s="355">
        <v>64514</v>
      </c>
      <c r="T450" s="355">
        <v>60840</v>
      </c>
      <c r="U450" s="59">
        <f t="shared" si="39"/>
        <v>60840</v>
      </c>
      <c r="V450" s="59">
        <f t="shared" si="40"/>
        <v>95801</v>
      </c>
      <c r="W450" s="59">
        <f t="shared" si="41"/>
        <v>77068.8</v>
      </c>
      <c r="X450" s="60">
        <f t="shared" si="42"/>
        <v>66.72955009103472</v>
      </c>
      <c r="AC450" s="53"/>
      <c r="AL450" s="65">
        <f>_xlfn.IFERROR(INDEX('Tabela PW'!$T:$T,'Słownik PW'!C450,1),"")</f>
        <v>60840</v>
      </c>
    </row>
    <row r="451" spans="1:38" ht="15">
      <c r="A451" s="4" t="s">
        <v>433</v>
      </c>
      <c r="B451" s="5" t="s">
        <v>683</v>
      </c>
      <c r="C451" s="49" t="s">
        <v>459</v>
      </c>
      <c r="D451" s="349">
        <f t="shared" si="43"/>
        <v>35</v>
      </c>
      <c r="E451" s="350" t="s">
        <v>1156</v>
      </c>
      <c r="F451" s="51" t="s">
        <v>25</v>
      </c>
      <c r="G451" s="351" t="s">
        <v>683</v>
      </c>
      <c r="H451" s="351" t="s">
        <v>2278</v>
      </c>
      <c r="I451" s="351" t="s">
        <v>2279</v>
      </c>
      <c r="J451" s="351" t="s">
        <v>4150</v>
      </c>
      <c r="K451" s="354">
        <v>97942</v>
      </c>
      <c r="L451" s="355">
        <v>109338</v>
      </c>
      <c r="M451" s="354">
        <v>133566</v>
      </c>
      <c r="N451" s="355">
        <v>134148</v>
      </c>
      <c r="O451" s="355">
        <v>123060</v>
      </c>
      <c r="P451" s="355">
        <v>114767</v>
      </c>
      <c r="Q451" s="355">
        <v>107145</v>
      </c>
      <c r="R451" s="355">
        <v>100127</v>
      </c>
      <c r="S451" s="355">
        <v>97967</v>
      </c>
      <c r="T451" s="355">
        <v>108127</v>
      </c>
      <c r="U451" s="59">
        <f aca="true" t="shared" si="44" ref="U451:U514">MIN(K451:T451)</f>
        <v>97942</v>
      </c>
      <c r="V451" s="59">
        <f aca="true" t="shared" si="45" ref="V451:V514">MAX(K451:T451)</f>
        <v>134148</v>
      </c>
      <c r="W451" s="59">
        <f aca="true" t="shared" si="46" ref="W451:W514">AVERAGE(K451:T451)</f>
        <v>112618.7</v>
      </c>
      <c r="X451" s="60">
        <f aca="true" t="shared" si="47" ref="X451:X514">_xlfn.IFERROR(T451/K451*100,"-")</f>
        <v>110.39901165996201</v>
      </c>
      <c r="AC451" s="53"/>
      <c r="AL451" s="65">
        <f>_xlfn.IFERROR(INDEX('Tabela PW'!$T:$T,'Słownik PW'!C451,1),"")</f>
        <v>108127</v>
      </c>
    </row>
    <row r="452" spans="1:38" ht="15">
      <c r="A452" s="4" t="s">
        <v>433</v>
      </c>
      <c r="B452" s="5" t="s">
        <v>683</v>
      </c>
      <c r="C452" s="49" t="s">
        <v>460</v>
      </c>
      <c r="D452" s="349">
        <f t="shared" si="43"/>
        <v>41</v>
      </c>
      <c r="E452" s="350" t="s">
        <v>1157</v>
      </c>
      <c r="F452" s="51" t="s">
        <v>25</v>
      </c>
      <c r="G452" s="351" t="s">
        <v>683</v>
      </c>
      <c r="H452" s="351" t="s">
        <v>2280</v>
      </c>
      <c r="I452" s="351" t="s">
        <v>2281</v>
      </c>
      <c r="J452" s="351" t="s">
        <v>4151</v>
      </c>
      <c r="K452" s="354">
        <v>469656</v>
      </c>
      <c r="L452" s="355">
        <v>481875</v>
      </c>
      <c r="M452" s="354">
        <v>466715</v>
      </c>
      <c r="N452" s="355">
        <v>458789</v>
      </c>
      <c r="O452" s="355">
        <v>503111</v>
      </c>
      <c r="P452" s="355">
        <v>514774</v>
      </c>
      <c r="Q452" s="355">
        <v>446902</v>
      </c>
      <c r="R452" s="355">
        <v>457549</v>
      </c>
      <c r="S452" s="355">
        <v>461865</v>
      </c>
      <c r="T452" s="355">
        <v>489242</v>
      </c>
      <c r="U452" s="59">
        <f t="shared" si="44"/>
        <v>446902</v>
      </c>
      <c r="V452" s="59">
        <f t="shared" si="45"/>
        <v>514774</v>
      </c>
      <c r="W452" s="59">
        <f t="shared" si="46"/>
        <v>475047.8</v>
      </c>
      <c r="X452" s="60">
        <f t="shared" si="47"/>
        <v>104.17028633723406</v>
      </c>
      <c r="AC452" s="53"/>
      <c r="AL452" s="65">
        <f>_xlfn.IFERROR(INDEX('Tabela PW'!$T:$T,'Słownik PW'!C452,1),"")</f>
        <v>489242</v>
      </c>
    </row>
    <row r="453" spans="1:38" ht="15">
      <c r="A453" s="4" t="s">
        <v>433</v>
      </c>
      <c r="B453" s="5" t="s">
        <v>683</v>
      </c>
      <c r="C453" s="49" t="s">
        <v>461</v>
      </c>
      <c r="D453" s="349">
        <f t="shared" si="43"/>
        <v>38</v>
      </c>
      <c r="E453" s="350" t="s">
        <v>1158</v>
      </c>
      <c r="F453" s="51" t="s">
        <v>25</v>
      </c>
      <c r="G453" s="351" t="s">
        <v>683</v>
      </c>
      <c r="H453" s="351" t="s">
        <v>2282</v>
      </c>
      <c r="I453" s="351" t="s">
        <v>2283</v>
      </c>
      <c r="J453" s="351" t="s">
        <v>4152</v>
      </c>
      <c r="K453" s="354">
        <v>78420</v>
      </c>
      <c r="L453" s="355">
        <v>68186</v>
      </c>
      <c r="M453" s="354">
        <v>82297</v>
      </c>
      <c r="N453" s="355">
        <v>78009</v>
      </c>
      <c r="O453" s="355">
        <v>72585</v>
      </c>
      <c r="P453" s="355">
        <v>67624</v>
      </c>
      <c r="Q453" s="355">
        <v>60369</v>
      </c>
      <c r="R453" s="355">
        <v>53024</v>
      </c>
      <c r="S453" s="355">
        <v>50001</v>
      </c>
      <c r="T453" s="355">
        <v>51904</v>
      </c>
      <c r="U453" s="59">
        <f t="shared" si="44"/>
        <v>50001</v>
      </c>
      <c r="V453" s="59">
        <f t="shared" si="45"/>
        <v>82297</v>
      </c>
      <c r="W453" s="59">
        <f t="shared" si="46"/>
        <v>66241.9</v>
      </c>
      <c r="X453" s="60">
        <f t="shared" si="47"/>
        <v>66.18719714358582</v>
      </c>
      <c r="AC453" s="53"/>
      <c r="AL453" s="65">
        <f>_xlfn.IFERROR(INDEX('Tabela PW'!$T:$T,'Słownik PW'!C453,1),"")</f>
        <v>51904</v>
      </c>
    </row>
    <row r="454" spans="1:38" ht="15">
      <c r="A454" s="4" t="s">
        <v>433</v>
      </c>
      <c r="B454" s="5" t="s">
        <v>683</v>
      </c>
      <c r="C454" s="49" t="s">
        <v>462</v>
      </c>
      <c r="D454" s="349">
        <f t="shared" si="43"/>
        <v>53</v>
      </c>
      <c r="E454" s="350" t="s">
        <v>1159</v>
      </c>
      <c r="F454" s="51" t="s">
        <v>25</v>
      </c>
      <c r="G454" s="351" t="s">
        <v>683</v>
      </c>
      <c r="H454" s="351" t="s">
        <v>2284</v>
      </c>
      <c r="I454" s="351" t="s">
        <v>2285</v>
      </c>
      <c r="J454" s="351" t="s">
        <v>4153</v>
      </c>
      <c r="K454" s="354">
        <v>568137</v>
      </c>
      <c r="L454" s="355">
        <v>593656</v>
      </c>
      <c r="M454" s="354">
        <v>585962</v>
      </c>
      <c r="N454" s="355">
        <v>584356</v>
      </c>
      <c r="O454" s="355">
        <v>587755</v>
      </c>
      <c r="P454" s="355">
        <v>589023</v>
      </c>
      <c r="Q454" s="355">
        <v>550727</v>
      </c>
      <c r="R454" s="355">
        <v>538026</v>
      </c>
      <c r="S454" s="355">
        <v>520004</v>
      </c>
      <c r="T454" s="355">
        <v>582198</v>
      </c>
      <c r="U454" s="59">
        <f t="shared" si="44"/>
        <v>520004</v>
      </c>
      <c r="V454" s="59">
        <f t="shared" si="45"/>
        <v>593656</v>
      </c>
      <c r="W454" s="59">
        <f t="shared" si="46"/>
        <v>569984.4</v>
      </c>
      <c r="X454" s="60">
        <f t="shared" si="47"/>
        <v>102.47493122257482</v>
      </c>
      <c r="AC454" s="53"/>
      <c r="AL454" s="65">
        <f>_xlfn.IFERROR(INDEX('Tabela PW'!$T:$T,'Słownik PW'!C454,1),"")</f>
        <v>582198</v>
      </c>
    </row>
    <row r="455" spans="1:38" ht="15">
      <c r="A455" s="4" t="s">
        <v>433</v>
      </c>
      <c r="B455" s="5" t="s">
        <v>683</v>
      </c>
      <c r="C455" s="49" t="s">
        <v>463</v>
      </c>
      <c r="D455" s="349">
        <f t="shared" si="43"/>
        <v>42</v>
      </c>
      <c r="E455" s="350" t="s">
        <v>1160</v>
      </c>
      <c r="F455" s="51" t="s">
        <v>25</v>
      </c>
      <c r="G455" s="351" t="s">
        <v>683</v>
      </c>
      <c r="H455" s="351" t="s">
        <v>2286</v>
      </c>
      <c r="I455" s="351" t="s">
        <v>2287</v>
      </c>
      <c r="J455" s="351" t="s">
        <v>4154</v>
      </c>
      <c r="K455" s="354">
        <v>547074</v>
      </c>
      <c r="L455" s="355">
        <v>571041</v>
      </c>
      <c r="M455" s="354">
        <v>565834</v>
      </c>
      <c r="N455" s="355">
        <v>565155</v>
      </c>
      <c r="O455" s="355">
        <v>576876</v>
      </c>
      <c r="P455" s="355">
        <v>574310</v>
      </c>
      <c r="Q455" s="355">
        <v>535596</v>
      </c>
      <c r="R455" s="355">
        <v>522022</v>
      </c>
      <c r="S455" s="355">
        <v>501817</v>
      </c>
      <c r="T455" s="355">
        <v>565588</v>
      </c>
      <c r="U455" s="59">
        <f t="shared" si="44"/>
        <v>501817</v>
      </c>
      <c r="V455" s="59">
        <f t="shared" si="45"/>
        <v>576876</v>
      </c>
      <c r="W455" s="59">
        <f t="shared" si="46"/>
        <v>552531.3</v>
      </c>
      <c r="X455" s="60">
        <f t="shared" si="47"/>
        <v>103.38418568603151</v>
      </c>
      <c r="AC455" s="53"/>
      <c r="AL455" s="65">
        <f>_xlfn.IFERROR(INDEX('Tabela PW'!$T:$T,'Słownik PW'!C455,1),"")</f>
        <v>565588</v>
      </c>
    </row>
    <row r="456" spans="1:38" ht="15">
      <c r="A456" s="4" t="s">
        <v>464</v>
      </c>
      <c r="B456" s="5" t="s">
        <v>684</v>
      </c>
      <c r="C456" s="49" t="s">
        <v>465</v>
      </c>
      <c r="D456" s="349">
        <f t="shared" si="43"/>
        <v>116</v>
      </c>
      <c r="E456" s="350" t="s">
        <v>1161</v>
      </c>
      <c r="F456" s="51" t="s">
        <v>154</v>
      </c>
      <c r="G456" s="351" t="s">
        <v>682</v>
      </c>
      <c r="H456" s="351" t="s">
        <v>2288</v>
      </c>
      <c r="I456" s="351" t="s">
        <v>2289</v>
      </c>
      <c r="J456" s="351" t="s">
        <v>4155</v>
      </c>
      <c r="K456" s="354">
        <v>1565913</v>
      </c>
      <c r="L456" s="355">
        <v>1756621</v>
      </c>
      <c r="M456" s="354">
        <v>1620682</v>
      </c>
      <c r="N456" s="355">
        <v>1379681</v>
      </c>
      <c r="O456" s="355">
        <v>1285687</v>
      </c>
      <c r="P456" s="355">
        <v>1449542</v>
      </c>
      <c r="Q456" s="355">
        <v>1477259</v>
      </c>
      <c r="R456" s="355">
        <v>1502313</v>
      </c>
      <c r="S456" s="355">
        <v>1582595</v>
      </c>
      <c r="T456" s="355">
        <v>1811151</v>
      </c>
      <c r="U456" s="59">
        <f t="shared" si="44"/>
        <v>1285687</v>
      </c>
      <c r="V456" s="59">
        <f t="shared" si="45"/>
        <v>1811151</v>
      </c>
      <c r="W456" s="59">
        <f t="shared" si="46"/>
        <v>1543144.4</v>
      </c>
      <c r="X456" s="60">
        <f t="shared" si="47"/>
        <v>115.66102331355575</v>
      </c>
      <c r="AC456" s="53"/>
      <c r="AL456" s="65">
        <f>_xlfn.IFERROR(INDEX('Tabela PW'!$T:$T,'Słownik PW'!C456,1),"")</f>
        <v>1811151</v>
      </c>
    </row>
    <row r="457" spans="1:38" ht="15">
      <c r="A457" s="4" t="s">
        <v>464</v>
      </c>
      <c r="B457" s="5" t="s">
        <v>684</v>
      </c>
      <c r="C457" s="49" t="s">
        <v>466</v>
      </c>
      <c r="D457" s="349">
        <f t="shared" si="43"/>
        <v>64</v>
      </c>
      <c r="E457" s="350" t="s">
        <v>1162</v>
      </c>
      <c r="F457" s="51" t="s">
        <v>154</v>
      </c>
      <c r="G457" s="351" t="s">
        <v>682</v>
      </c>
      <c r="H457" s="351" t="s">
        <v>2290</v>
      </c>
      <c r="I457" s="351" t="s">
        <v>2291</v>
      </c>
      <c r="J457" s="351" t="s">
        <v>4156</v>
      </c>
      <c r="K457" s="354">
        <v>35057</v>
      </c>
      <c r="L457" s="355">
        <v>36649</v>
      </c>
      <c r="M457" s="354">
        <v>36691</v>
      </c>
      <c r="N457" s="355">
        <v>33200</v>
      </c>
      <c r="O457" s="355">
        <v>36689</v>
      </c>
      <c r="P457" s="355">
        <v>40629</v>
      </c>
      <c r="Q457" s="355">
        <v>37911</v>
      </c>
      <c r="R457" s="355">
        <v>34627</v>
      </c>
      <c r="S457" s="355">
        <v>33005</v>
      </c>
      <c r="T457" s="355">
        <v>29350</v>
      </c>
      <c r="U457" s="59">
        <f t="shared" si="44"/>
        <v>29350</v>
      </c>
      <c r="V457" s="59">
        <f t="shared" si="45"/>
        <v>40629</v>
      </c>
      <c r="W457" s="59">
        <f t="shared" si="46"/>
        <v>35380.8</v>
      </c>
      <c r="X457" s="60">
        <f t="shared" si="47"/>
        <v>83.72079755826226</v>
      </c>
      <c r="AC457" s="53"/>
      <c r="AL457" s="65">
        <f>_xlfn.IFERROR(INDEX('Tabela PW'!$T:$T,'Słownik PW'!C457,1),"")</f>
        <v>29350</v>
      </c>
    </row>
    <row r="458" spans="1:38" ht="15">
      <c r="A458" s="4" t="s">
        <v>464</v>
      </c>
      <c r="B458" s="5" t="s">
        <v>684</v>
      </c>
      <c r="C458" s="49" t="s">
        <v>467</v>
      </c>
      <c r="D458" s="349">
        <f t="shared" si="43"/>
        <v>50</v>
      </c>
      <c r="E458" s="350" t="s">
        <v>1163</v>
      </c>
      <c r="F458" s="51" t="s">
        <v>154</v>
      </c>
      <c r="G458" s="351" t="s">
        <v>682</v>
      </c>
      <c r="H458" s="351" t="s">
        <v>2292</v>
      </c>
      <c r="I458" s="351" t="s">
        <v>2293</v>
      </c>
      <c r="J458" s="351" t="s">
        <v>4157</v>
      </c>
      <c r="K458" s="354">
        <v>222748</v>
      </c>
      <c r="L458" s="355">
        <v>227486</v>
      </c>
      <c r="M458" s="354">
        <v>232741</v>
      </c>
      <c r="N458" s="355">
        <v>206576</v>
      </c>
      <c r="O458" s="355">
        <v>218113</v>
      </c>
      <c r="P458" s="355">
        <v>229046</v>
      </c>
      <c r="Q458" s="355">
        <v>215385</v>
      </c>
      <c r="R458" s="355">
        <v>210300</v>
      </c>
      <c r="S458" s="355">
        <v>222644</v>
      </c>
      <c r="T458" s="355">
        <v>257998</v>
      </c>
      <c r="U458" s="59">
        <f t="shared" si="44"/>
        <v>206576</v>
      </c>
      <c r="V458" s="59">
        <f t="shared" si="45"/>
        <v>257998</v>
      </c>
      <c r="W458" s="59">
        <f t="shared" si="46"/>
        <v>224303.7</v>
      </c>
      <c r="X458" s="60">
        <f t="shared" si="47"/>
        <v>115.8250579129779</v>
      </c>
      <c r="AC458" s="53"/>
      <c r="AL458" s="65">
        <f>_xlfn.IFERROR(INDEX('Tabela PW'!$T:$T,'Słownik PW'!C458,1),"")</f>
        <v>257998</v>
      </c>
    </row>
    <row r="459" spans="1:38" ht="15">
      <c r="A459" s="4" t="s">
        <v>464</v>
      </c>
      <c r="B459" s="5" t="s">
        <v>684</v>
      </c>
      <c r="C459" s="49" t="s">
        <v>468</v>
      </c>
      <c r="D459" s="349">
        <f t="shared" si="43"/>
        <v>81</v>
      </c>
      <c r="E459" s="350" t="s">
        <v>1164</v>
      </c>
      <c r="F459" s="51" t="s">
        <v>154</v>
      </c>
      <c r="G459" s="351" t="s">
        <v>682</v>
      </c>
      <c r="H459" s="351" t="s">
        <v>2294</v>
      </c>
      <c r="I459" s="351" t="s">
        <v>2295</v>
      </c>
      <c r="J459" s="351" t="s">
        <v>4158</v>
      </c>
      <c r="K459" s="354">
        <v>173869</v>
      </c>
      <c r="L459" s="355">
        <v>187130</v>
      </c>
      <c r="M459" s="354">
        <v>182067</v>
      </c>
      <c r="N459" s="355">
        <v>171470</v>
      </c>
      <c r="O459" s="355">
        <v>219503</v>
      </c>
      <c r="P459" s="355">
        <v>198805</v>
      </c>
      <c r="Q459" s="355">
        <v>209899</v>
      </c>
      <c r="R459" s="355">
        <v>237061</v>
      </c>
      <c r="S459" s="355">
        <v>273534</v>
      </c>
      <c r="T459" s="355">
        <v>253794</v>
      </c>
      <c r="U459" s="59">
        <f t="shared" si="44"/>
        <v>171470</v>
      </c>
      <c r="V459" s="59">
        <f t="shared" si="45"/>
        <v>273534</v>
      </c>
      <c r="W459" s="59">
        <f t="shared" si="46"/>
        <v>210713.2</v>
      </c>
      <c r="X459" s="60">
        <f t="shared" si="47"/>
        <v>145.96851652681042</v>
      </c>
      <c r="AC459" s="53"/>
      <c r="AL459" s="65">
        <f>_xlfn.IFERROR(INDEX('Tabela PW'!$T:$T,'Słownik PW'!C459,1),"")</f>
        <v>253794</v>
      </c>
    </row>
    <row r="460" spans="1:38" ht="15">
      <c r="A460" s="4" t="s">
        <v>464</v>
      </c>
      <c r="B460" s="5" t="s">
        <v>684</v>
      </c>
      <c r="C460" s="49" t="s">
        <v>469</v>
      </c>
      <c r="D460" s="349">
        <f t="shared" si="43"/>
        <v>55</v>
      </c>
      <c r="E460" s="350" t="s">
        <v>1165</v>
      </c>
      <c r="F460" s="51" t="s">
        <v>139</v>
      </c>
      <c r="G460" s="351" t="s">
        <v>674</v>
      </c>
      <c r="H460" s="351" t="s">
        <v>2296</v>
      </c>
      <c r="I460" s="351" t="s">
        <v>2297</v>
      </c>
      <c r="J460" s="351" t="s">
        <v>4159</v>
      </c>
      <c r="K460" s="354">
        <v>209618</v>
      </c>
      <c r="L460" s="355">
        <v>56630</v>
      </c>
      <c r="M460" s="354">
        <v>53050</v>
      </c>
      <c r="N460" s="355">
        <v>19500</v>
      </c>
      <c r="O460" s="355">
        <v>2900</v>
      </c>
      <c r="P460" s="355">
        <v>1650</v>
      </c>
      <c r="Q460" s="355">
        <v>10</v>
      </c>
      <c r="R460" s="355">
        <v>20</v>
      </c>
      <c r="S460" s="355" t="s">
        <v>4569</v>
      </c>
      <c r="T460" s="355" t="s">
        <v>4569</v>
      </c>
      <c r="U460" s="59">
        <f t="shared" si="44"/>
        <v>10</v>
      </c>
      <c r="V460" s="59">
        <f t="shared" si="45"/>
        <v>209618</v>
      </c>
      <c r="W460" s="59">
        <f t="shared" si="46"/>
        <v>42922.25</v>
      </c>
      <c r="X460" s="60" t="str">
        <f t="shared" si="47"/>
        <v>-</v>
      </c>
      <c r="AC460" s="53"/>
      <c r="AL460" s="65" t="str">
        <f>_xlfn.IFERROR(INDEX('Tabela PW'!$T:$T,'Słownik PW'!C460,1),"")</f>
        <v>—</v>
      </c>
    </row>
    <row r="461" spans="1:38" ht="15">
      <c r="A461" s="4" t="s">
        <v>464</v>
      </c>
      <c r="B461" s="5" t="s">
        <v>684</v>
      </c>
      <c r="C461" s="49" t="s">
        <v>470</v>
      </c>
      <c r="D461" s="349">
        <f t="shared" si="43"/>
        <v>47</v>
      </c>
      <c r="E461" s="350" t="s">
        <v>1166</v>
      </c>
      <c r="F461" s="51" t="s">
        <v>139</v>
      </c>
      <c r="G461" s="351" t="s">
        <v>674</v>
      </c>
      <c r="H461" s="351" t="s">
        <v>2298</v>
      </c>
      <c r="I461" s="351" t="s">
        <v>2299</v>
      </c>
      <c r="J461" s="351" t="s">
        <v>4160</v>
      </c>
      <c r="K461" s="354">
        <v>121248678</v>
      </c>
      <c r="L461" s="355">
        <v>118470532</v>
      </c>
      <c r="M461" s="354">
        <v>109177567</v>
      </c>
      <c r="N461" s="355">
        <v>113200299</v>
      </c>
      <c r="O461" s="355">
        <v>120487887</v>
      </c>
      <c r="P461" s="355">
        <v>122375601</v>
      </c>
      <c r="Q461" s="355">
        <v>133474494</v>
      </c>
      <c r="R461" s="355">
        <v>141764095</v>
      </c>
      <c r="S461" s="355">
        <v>131987675</v>
      </c>
      <c r="T461" s="355">
        <v>136833090</v>
      </c>
      <c r="U461" s="59">
        <f t="shared" si="44"/>
        <v>109177567</v>
      </c>
      <c r="V461" s="59">
        <f t="shared" si="45"/>
        <v>141764095</v>
      </c>
      <c r="W461" s="59">
        <f t="shared" si="46"/>
        <v>124901991.8</v>
      </c>
      <c r="X461" s="60">
        <f t="shared" si="47"/>
        <v>112.85326343929292</v>
      </c>
      <c r="AC461" s="53"/>
      <c r="AL461" s="65">
        <f>_xlfn.IFERROR(INDEX('Tabela PW'!$T:$T,'Słownik PW'!C461,1),"")</f>
        <v>136833090</v>
      </c>
    </row>
    <row r="462" spans="1:38" ht="15">
      <c r="A462" s="4" t="s">
        <v>464</v>
      </c>
      <c r="B462" s="5" t="s">
        <v>684</v>
      </c>
      <c r="C462" s="49" t="s">
        <v>471</v>
      </c>
      <c r="D462" s="349">
        <f t="shared" si="43"/>
        <v>49</v>
      </c>
      <c r="E462" s="350" t="s">
        <v>1167</v>
      </c>
      <c r="F462" s="51" t="s">
        <v>25</v>
      </c>
      <c r="G462" s="351" t="s">
        <v>683</v>
      </c>
      <c r="H462" s="351" t="s">
        <v>2300</v>
      </c>
      <c r="I462" s="351" t="s">
        <v>2301</v>
      </c>
      <c r="J462" s="351" t="s">
        <v>4161</v>
      </c>
      <c r="K462" s="354">
        <v>36021</v>
      </c>
      <c r="L462" s="355">
        <v>42045</v>
      </c>
      <c r="M462" s="354">
        <v>46215</v>
      </c>
      <c r="N462" s="355">
        <v>45971</v>
      </c>
      <c r="O462" s="355">
        <v>47264</v>
      </c>
      <c r="P462" s="355">
        <v>61366</v>
      </c>
      <c r="Q462" s="355">
        <v>54029</v>
      </c>
      <c r="R462" s="355">
        <v>56206</v>
      </c>
      <c r="S462" s="355">
        <v>71390</v>
      </c>
      <c r="T462" s="355">
        <v>72932</v>
      </c>
      <c r="U462" s="59">
        <f t="shared" si="44"/>
        <v>36021</v>
      </c>
      <c r="V462" s="59">
        <f t="shared" si="45"/>
        <v>72932</v>
      </c>
      <c r="W462" s="59">
        <f t="shared" si="46"/>
        <v>53343.9</v>
      </c>
      <c r="X462" s="60">
        <f t="shared" si="47"/>
        <v>202.47078093334446</v>
      </c>
      <c r="AC462" s="53"/>
      <c r="AL462" s="65">
        <f>_xlfn.IFERROR(INDEX('Tabela PW'!$T:$T,'Słownik PW'!C462,1),"")</f>
        <v>72932</v>
      </c>
    </row>
    <row r="463" spans="1:38" ht="15">
      <c r="A463" s="4" t="s">
        <v>464</v>
      </c>
      <c r="B463" s="5" t="s">
        <v>684</v>
      </c>
      <c r="C463" s="49" t="s">
        <v>472</v>
      </c>
      <c r="D463" s="349">
        <f t="shared" si="43"/>
        <v>59</v>
      </c>
      <c r="E463" s="350" t="s">
        <v>1168</v>
      </c>
      <c r="F463" s="51" t="s">
        <v>25</v>
      </c>
      <c r="G463" s="351" t="s">
        <v>683</v>
      </c>
      <c r="H463" s="351" t="s">
        <v>2302</v>
      </c>
      <c r="I463" s="351" t="s">
        <v>2303</v>
      </c>
      <c r="J463" s="351" t="s">
        <v>4162</v>
      </c>
      <c r="K463" s="354">
        <v>237</v>
      </c>
      <c r="L463" s="355">
        <v>234</v>
      </c>
      <c r="M463" s="354">
        <v>207</v>
      </c>
      <c r="N463" s="355">
        <v>88</v>
      </c>
      <c r="O463" s="355">
        <v>90</v>
      </c>
      <c r="P463" s="355">
        <v>73</v>
      </c>
      <c r="Q463" s="355">
        <v>91</v>
      </c>
      <c r="R463" s="355">
        <v>84</v>
      </c>
      <c r="S463" s="355">
        <v>89</v>
      </c>
      <c r="T463" s="355">
        <v>108</v>
      </c>
      <c r="U463" s="59">
        <f t="shared" si="44"/>
        <v>73</v>
      </c>
      <c r="V463" s="59">
        <f t="shared" si="45"/>
        <v>237</v>
      </c>
      <c r="W463" s="59">
        <f t="shared" si="46"/>
        <v>130.1</v>
      </c>
      <c r="X463" s="60">
        <f t="shared" si="47"/>
        <v>45.56962025316456</v>
      </c>
      <c r="AC463" s="53"/>
      <c r="AL463" s="65">
        <f>_xlfn.IFERROR(INDEX('Tabela PW'!$T:$T,'Słownik PW'!C463,1),"")</f>
        <v>108</v>
      </c>
    </row>
    <row r="464" spans="1:38" ht="15">
      <c r="A464" s="4" t="s">
        <v>464</v>
      </c>
      <c r="B464" s="5" t="s">
        <v>684</v>
      </c>
      <c r="C464" s="49" t="s">
        <v>472</v>
      </c>
      <c r="D464" s="349">
        <f t="shared" si="43"/>
        <v>59</v>
      </c>
      <c r="E464" s="350" t="s">
        <v>1169</v>
      </c>
      <c r="F464" s="51" t="s">
        <v>156</v>
      </c>
      <c r="G464" s="351" t="s">
        <v>705</v>
      </c>
      <c r="H464" s="351" t="s">
        <v>2304</v>
      </c>
      <c r="I464" s="351" t="s">
        <v>2305</v>
      </c>
      <c r="J464" s="351" t="s">
        <v>4163</v>
      </c>
      <c r="K464" s="354">
        <v>4329</v>
      </c>
      <c r="L464" s="355">
        <v>4015</v>
      </c>
      <c r="M464" s="354">
        <v>3408</v>
      </c>
      <c r="N464" s="355">
        <v>1699</v>
      </c>
      <c r="O464" s="355">
        <v>1759</v>
      </c>
      <c r="P464" s="355">
        <v>2073</v>
      </c>
      <c r="Q464" s="355">
        <v>1470</v>
      </c>
      <c r="R464" s="355">
        <v>1329</v>
      </c>
      <c r="S464" s="355">
        <v>807</v>
      </c>
      <c r="T464" s="355">
        <v>1138</v>
      </c>
      <c r="U464" s="59">
        <f t="shared" si="44"/>
        <v>807</v>
      </c>
      <c r="V464" s="59">
        <f t="shared" si="45"/>
        <v>4329</v>
      </c>
      <c r="W464" s="59">
        <f t="shared" si="46"/>
        <v>2202.7</v>
      </c>
      <c r="X464" s="60">
        <f t="shared" si="47"/>
        <v>26.287826287826288</v>
      </c>
      <c r="AC464" s="53"/>
      <c r="AL464" s="65">
        <f>_xlfn.IFERROR(INDEX('Tabela PW'!$T:$T,'Słownik PW'!C464,1),"")</f>
        <v>1138</v>
      </c>
    </row>
    <row r="465" spans="1:38" ht="15">
      <c r="A465" s="4" t="s">
        <v>464</v>
      </c>
      <c r="B465" s="5" t="s">
        <v>684</v>
      </c>
      <c r="C465" s="49" t="s">
        <v>473</v>
      </c>
      <c r="D465" s="349">
        <f t="shared" si="43"/>
        <v>80</v>
      </c>
      <c r="E465" s="350" t="s">
        <v>1170</v>
      </c>
      <c r="F465" s="51" t="s">
        <v>139</v>
      </c>
      <c r="G465" s="351" t="s">
        <v>674</v>
      </c>
      <c r="H465" s="351" t="s">
        <v>2306</v>
      </c>
      <c r="I465" s="351" t="s">
        <v>2307</v>
      </c>
      <c r="J465" s="351" t="s">
        <v>4164</v>
      </c>
      <c r="K465" s="354">
        <v>8366453</v>
      </c>
      <c r="L465" s="355">
        <v>8879356</v>
      </c>
      <c r="M465" s="354">
        <v>7528402</v>
      </c>
      <c r="N465" s="355">
        <v>7891906</v>
      </c>
      <c r="O465" s="355">
        <v>7885944</v>
      </c>
      <c r="P465" s="355">
        <v>7049296</v>
      </c>
      <c r="Q465" s="355">
        <v>8705023</v>
      </c>
      <c r="R465" s="355">
        <v>9743472</v>
      </c>
      <c r="S465" s="355">
        <v>10047146</v>
      </c>
      <c r="T465" s="355">
        <v>10229473</v>
      </c>
      <c r="U465" s="59">
        <f t="shared" si="44"/>
        <v>7049296</v>
      </c>
      <c r="V465" s="59">
        <f t="shared" si="45"/>
        <v>10229473</v>
      </c>
      <c r="W465" s="59">
        <f t="shared" si="46"/>
        <v>8632647.1</v>
      </c>
      <c r="X465" s="60">
        <f t="shared" si="47"/>
        <v>122.26773998491356</v>
      </c>
      <c r="AC465" s="53"/>
      <c r="AL465" s="65">
        <f>_xlfn.IFERROR(INDEX('Tabela PW'!$T:$T,'Słownik PW'!C465,1),"")</f>
        <v>10229473</v>
      </c>
    </row>
    <row r="466" spans="1:38" ht="15">
      <c r="A466" s="4" t="s">
        <v>464</v>
      </c>
      <c r="B466" s="5" t="s">
        <v>684</v>
      </c>
      <c r="C466" s="49" t="s">
        <v>474</v>
      </c>
      <c r="D466" s="349">
        <f t="shared" si="43"/>
        <v>14</v>
      </c>
      <c r="E466" s="350" t="s">
        <v>1171</v>
      </c>
      <c r="F466" s="51" t="s">
        <v>139</v>
      </c>
      <c r="G466" s="351" t="s">
        <v>674</v>
      </c>
      <c r="H466" s="351" t="s">
        <v>2308</v>
      </c>
      <c r="I466" s="351" t="s">
        <v>2309</v>
      </c>
      <c r="J466" s="351" t="s">
        <v>4165</v>
      </c>
      <c r="K466" s="354">
        <v>317229</v>
      </c>
      <c r="L466" s="355">
        <v>323139</v>
      </c>
      <c r="M466" s="354">
        <v>303228</v>
      </c>
      <c r="N466" s="355">
        <v>403563</v>
      </c>
      <c r="O466" s="355">
        <v>434136</v>
      </c>
      <c r="P466" s="355">
        <v>455607</v>
      </c>
      <c r="Q466" s="355">
        <v>451481</v>
      </c>
      <c r="R466" s="355">
        <v>502311</v>
      </c>
      <c r="S466" s="355">
        <v>506050</v>
      </c>
      <c r="T466" s="355">
        <v>40390</v>
      </c>
      <c r="U466" s="59">
        <f t="shared" si="44"/>
        <v>40390</v>
      </c>
      <c r="V466" s="59">
        <f t="shared" si="45"/>
        <v>506050</v>
      </c>
      <c r="W466" s="59">
        <f t="shared" si="46"/>
        <v>373713.4</v>
      </c>
      <c r="X466" s="60">
        <f t="shared" si="47"/>
        <v>12.7321272645313</v>
      </c>
      <c r="AC466" s="53"/>
      <c r="AL466" s="65">
        <f>_xlfn.IFERROR(INDEX('Tabela PW'!$T:$T,'Słownik PW'!C466,1),"")</f>
        <v>40390</v>
      </c>
    </row>
    <row r="467" spans="1:38" ht="15">
      <c r="A467" s="4" t="s">
        <v>464</v>
      </c>
      <c r="B467" s="5" t="s">
        <v>684</v>
      </c>
      <c r="C467" s="49" t="s">
        <v>474</v>
      </c>
      <c r="D467" s="349">
        <f t="shared" si="43"/>
        <v>14</v>
      </c>
      <c r="E467" s="350" t="s">
        <v>1172</v>
      </c>
      <c r="F467" s="51" t="s">
        <v>154</v>
      </c>
      <c r="G467" s="351" t="s">
        <v>682</v>
      </c>
      <c r="H467" s="351" t="s">
        <v>2310</v>
      </c>
      <c r="I467" s="351" t="s">
        <v>2311</v>
      </c>
      <c r="J467" s="351" t="s">
        <v>4166</v>
      </c>
      <c r="K467" s="354">
        <v>132150</v>
      </c>
      <c r="L467" s="355">
        <v>130477</v>
      </c>
      <c r="M467" s="354">
        <v>125593</v>
      </c>
      <c r="N467" s="355">
        <v>129753</v>
      </c>
      <c r="O467" s="355">
        <v>154018</v>
      </c>
      <c r="P467" s="355">
        <v>160366</v>
      </c>
      <c r="Q467" s="355">
        <v>141796</v>
      </c>
      <c r="R467" s="355">
        <v>160903</v>
      </c>
      <c r="S467" s="355">
        <v>150761</v>
      </c>
      <c r="T467" s="355">
        <v>658</v>
      </c>
      <c r="U467" s="59">
        <f t="shared" si="44"/>
        <v>658</v>
      </c>
      <c r="V467" s="59">
        <f t="shared" si="45"/>
        <v>160903</v>
      </c>
      <c r="W467" s="59">
        <f t="shared" si="46"/>
        <v>128647.5</v>
      </c>
      <c r="X467" s="60">
        <f t="shared" si="47"/>
        <v>0.4979190314037079</v>
      </c>
      <c r="AC467" s="53"/>
      <c r="AL467" s="65">
        <f>_xlfn.IFERROR(INDEX('Tabela PW'!$T:$T,'Słownik PW'!C467,1),"")</f>
        <v>658</v>
      </c>
    </row>
    <row r="468" spans="1:38" ht="15">
      <c r="A468" s="4" t="s">
        <v>464</v>
      </c>
      <c r="B468" s="5" t="s">
        <v>684</v>
      </c>
      <c r="C468" s="49" t="s">
        <v>475</v>
      </c>
      <c r="D468" s="349">
        <f t="shared" si="43"/>
        <v>67</v>
      </c>
      <c r="E468" s="350" t="s">
        <v>1173</v>
      </c>
      <c r="F468" s="51" t="s">
        <v>139</v>
      </c>
      <c r="G468" s="351" t="s">
        <v>674</v>
      </c>
      <c r="H468" s="351" t="s">
        <v>2312</v>
      </c>
      <c r="I468" s="351" t="s">
        <v>2313</v>
      </c>
      <c r="J468" s="351" t="s">
        <v>4167</v>
      </c>
      <c r="K468" s="354">
        <v>4712543</v>
      </c>
      <c r="L468" s="355">
        <v>3494889</v>
      </c>
      <c r="M468" s="354">
        <v>2535228</v>
      </c>
      <c r="N468" s="355">
        <v>2197104</v>
      </c>
      <c r="O468" s="355">
        <v>2025566</v>
      </c>
      <c r="P468" s="355">
        <v>2152033</v>
      </c>
      <c r="Q468" s="355">
        <v>2254692</v>
      </c>
      <c r="R468" s="355">
        <v>2194797</v>
      </c>
      <c r="S468" s="355">
        <v>2282253</v>
      </c>
      <c r="T468" s="355">
        <v>2044147</v>
      </c>
      <c r="U468" s="59">
        <f t="shared" si="44"/>
        <v>2025566</v>
      </c>
      <c r="V468" s="59">
        <f t="shared" si="45"/>
        <v>4712543</v>
      </c>
      <c r="W468" s="59">
        <f t="shared" si="46"/>
        <v>2589325.2</v>
      </c>
      <c r="X468" s="60">
        <f t="shared" si="47"/>
        <v>43.376728870166275</v>
      </c>
      <c r="AC468" s="53"/>
      <c r="AL468" s="65">
        <f>_xlfn.IFERROR(INDEX('Tabela PW'!$T:$T,'Słownik PW'!C468,1),"")</f>
        <v>2044147</v>
      </c>
    </row>
    <row r="469" spans="1:38" ht="15">
      <c r="A469" s="4" t="s">
        <v>464</v>
      </c>
      <c r="B469" s="5" t="s">
        <v>684</v>
      </c>
      <c r="C469" s="49" t="s">
        <v>475</v>
      </c>
      <c r="D469" s="349">
        <f t="shared" si="43"/>
        <v>67</v>
      </c>
      <c r="E469" s="350" t="s">
        <v>1174</v>
      </c>
      <c r="F469" s="51" t="s">
        <v>154</v>
      </c>
      <c r="G469" s="351" t="s">
        <v>682</v>
      </c>
      <c r="H469" s="351" t="s">
        <v>2314</v>
      </c>
      <c r="I469" s="351" t="s">
        <v>2315</v>
      </c>
      <c r="J469" s="351" t="s">
        <v>4168</v>
      </c>
      <c r="K469" s="354">
        <v>7530</v>
      </c>
      <c r="L469" s="355">
        <v>7506</v>
      </c>
      <c r="M469" s="354">
        <v>8583</v>
      </c>
      <c r="N469" s="355">
        <v>8675</v>
      </c>
      <c r="O469" s="355">
        <v>9259</v>
      </c>
      <c r="P469" s="355">
        <v>11469</v>
      </c>
      <c r="Q469" s="355">
        <v>9733</v>
      </c>
      <c r="R469" s="355">
        <v>9978</v>
      </c>
      <c r="S469" s="355">
        <v>7941</v>
      </c>
      <c r="T469" s="355">
        <v>8370</v>
      </c>
      <c r="U469" s="59">
        <f t="shared" si="44"/>
        <v>7506</v>
      </c>
      <c r="V469" s="59">
        <f t="shared" si="45"/>
        <v>11469</v>
      </c>
      <c r="W469" s="59">
        <f t="shared" si="46"/>
        <v>8904.4</v>
      </c>
      <c r="X469" s="60">
        <f t="shared" si="47"/>
        <v>111.15537848605577</v>
      </c>
      <c r="AC469" s="53"/>
      <c r="AL469" s="65">
        <f>_xlfn.IFERROR(INDEX('Tabela PW'!$T:$T,'Słownik PW'!C469,1),"")</f>
        <v>8370</v>
      </c>
    </row>
    <row r="470" spans="1:38" ht="15">
      <c r="A470" s="4" t="s">
        <v>464</v>
      </c>
      <c r="B470" s="5" t="s">
        <v>684</v>
      </c>
      <c r="C470" s="49" t="s">
        <v>476</v>
      </c>
      <c r="D470" s="349">
        <f t="shared" si="43"/>
        <v>160</v>
      </c>
      <c r="E470" s="350" t="s">
        <v>1175</v>
      </c>
      <c r="F470" s="51" t="s">
        <v>154</v>
      </c>
      <c r="G470" s="351" t="s">
        <v>682</v>
      </c>
      <c r="H470" s="351" t="s">
        <v>2316</v>
      </c>
      <c r="I470" s="351" t="s">
        <v>2317</v>
      </c>
      <c r="J470" s="351" t="s">
        <v>4169</v>
      </c>
      <c r="K470" s="354">
        <v>2338000</v>
      </c>
      <c r="L470" s="355">
        <v>3190575</v>
      </c>
      <c r="M470" s="354">
        <v>3310414</v>
      </c>
      <c r="N470" s="355">
        <v>3423002</v>
      </c>
      <c r="O470" s="355">
        <v>3806345</v>
      </c>
      <c r="P470" s="355">
        <v>3970135</v>
      </c>
      <c r="Q470" s="355">
        <v>4125929</v>
      </c>
      <c r="R470" s="355">
        <v>3955390</v>
      </c>
      <c r="S470" s="355">
        <v>4409105</v>
      </c>
      <c r="T470" s="355">
        <v>4220088</v>
      </c>
      <c r="U470" s="59">
        <f t="shared" si="44"/>
        <v>2338000</v>
      </c>
      <c r="V470" s="59">
        <f t="shared" si="45"/>
        <v>4409105</v>
      </c>
      <c r="W470" s="59">
        <f t="shared" si="46"/>
        <v>3674898.3</v>
      </c>
      <c r="X470" s="60">
        <f t="shared" si="47"/>
        <v>180.4999144568007</v>
      </c>
      <c r="AC470" s="53"/>
      <c r="AL470" s="65">
        <f>_xlfn.IFERROR(INDEX('Tabela PW'!$T:$T,'Słownik PW'!C470,1),"")</f>
        <v>4220088</v>
      </c>
    </row>
    <row r="471" spans="1:38" ht="15">
      <c r="A471" s="4" t="s">
        <v>464</v>
      </c>
      <c r="B471" s="5" t="s">
        <v>684</v>
      </c>
      <c r="C471" s="49" t="s">
        <v>477</v>
      </c>
      <c r="D471" s="349">
        <f t="shared" si="43"/>
        <v>99</v>
      </c>
      <c r="E471" s="350" t="s">
        <v>1176</v>
      </c>
      <c r="F471" s="51" t="s">
        <v>25</v>
      </c>
      <c r="G471" s="351" t="s">
        <v>683</v>
      </c>
      <c r="H471" s="351" t="s">
        <v>2318</v>
      </c>
      <c r="I471" s="351" t="s">
        <v>2319</v>
      </c>
      <c r="J471" s="351" t="s">
        <v>4170</v>
      </c>
      <c r="K471" s="354">
        <v>25771</v>
      </c>
      <c r="L471" s="355">
        <v>27992</v>
      </c>
      <c r="M471" s="354">
        <v>35748</v>
      </c>
      <c r="N471" s="355">
        <v>37808</v>
      </c>
      <c r="O471" s="355">
        <v>36269</v>
      </c>
      <c r="P471" s="355">
        <v>39565</v>
      </c>
      <c r="Q471" s="355">
        <v>38356</v>
      </c>
      <c r="R471" s="355">
        <v>36446</v>
      </c>
      <c r="S471" s="355">
        <v>42143</v>
      </c>
      <c r="T471" s="355">
        <v>45122</v>
      </c>
      <c r="U471" s="59">
        <f t="shared" si="44"/>
        <v>25771</v>
      </c>
      <c r="V471" s="59">
        <f t="shared" si="45"/>
        <v>45122</v>
      </c>
      <c r="W471" s="59">
        <f t="shared" si="46"/>
        <v>36522</v>
      </c>
      <c r="X471" s="60">
        <f t="shared" si="47"/>
        <v>175.0882775212448</v>
      </c>
      <c r="AC471" s="53"/>
      <c r="AL471" s="65">
        <f>_xlfn.IFERROR(INDEX('Tabela PW'!$T:$T,'Słownik PW'!C471,1),"")</f>
        <v>45122</v>
      </c>
    </row>
    <row r="472" spans="1:38" ht="15">
      <c r="A472" s="4" t="s">
        <v>464</v>
      </c>
      <c r="B472" s="5" t="s">
        <v>684</v>
      </c>
      <c r="C472" s="49" t="s">
        <v>478</v>
      </c>
      <c r="D472" s="349">
        <f t="shared" si="43"/>
        <v>104</v>
      </c>
      <c r="E472" s="350" t="s">
        <v>1177</v>
      </c>
      <c r="F472" s="51" t="s">
        <v>25</v>
      </c>
      <c r="G472" s="351" t="s">
        <v>683</v>
      </c>
      <c r="H472" s="351" t="s">
        <v>2320</v>
      </c>
      <c r="I472" s="351" t="s">
        <v>2321</v>
      </c>
      <c r="J472" s="351" t="s">
        <v>4171</v>
      </c>
      <c r="K472" s="354">
        <v>19174</v>
      </c>
      <c r="L472" s="355">
        <v>19162</v>
      </c>
      <c r="M472" s="354">
        <v>18210</v>
      </c>
      <c r="N472" s="355">
        <v>20870</v>
      </c>
      <c r="O472" s="355">
        <v>23834</v>
      </c>
      <c r="P472" s="355">
        <v>26826</v>
      </c>
      <c r="Q472" s="355">
        <v>29021</v>
      </c>
      <c r="R472" s="355">
        <v>28062</v>
      </c>
      <c r="S472" s="355">
        <v>28048</v>
      </c>
      <c r="T472" s="355">
        <v>28078</v>
      </c>
      <c r="U472" s="59">
        <f t="shared" si="44"/>
        <v>18210</v>
      </c>
      <c r="V472" s="59">
        <f t="shared" si="45"/>
        <v>29021</v>
      </c>
      <c r="W472" s="59">
        <f t="shared" si="46"/>
        <v>24128.5</v>
      </c>
      <c r="X472" s="60">
        <f t="shared" si="47"/>
        <v>146.43788463544382</v>
      </c>
      <c r="AC472" s="53"/>
      <c r="AL472" s="65">
        <f>_xlfn.IFERROR(INDEX('Tabela PW'!$T:$T,'Słownik PW'!C472,1),"")</f>
        <v>28078</v>
      </c>
    </row>
    <row r="473" spans="1:38" ht="15">
      <c r="A473" s="4" t="s">
        <v>464</v>
      </c>
      <c r="B473" s="5" t="s">
        <v>684</v>
      </c>
      <c r="C473" s="49" t="s">
        <v>479</v>
      </c>
      <c r="D473" s="349">
        <f t="shared" si="43"/>
        <v>35</v>
      </c>
      <c r="E473" s="350" t="s">
        <v>1178</v>
      </c>
      <c r="F473" s="51" t="s">
        <v>25</v>
      </c>
      <c r="G473" s="351" t="s">
        <v>683</v>
      </c>
      <c r="H473" s="351" t="s">
        <v>2322</v>
      </c>
      <c r="I473" s="351" t="s">
        <v>2323</v>
      </c>
      <c r="J473" s="351" t="s">
        <v>4172</v>
      </c>
      <c r="K473" s="354">
        <v>422123</v>
      </c>
      <c r="L473" s="355">
        <v>490373</v>
      </c>
      <c r="M473" s="354">
        <v>489363</v>
      </c>
      <c r="N473" s="355">
        <v>523494</v>
      </c>
      <c r="O473" s="355">
        <v>534695</v>
      </c>
      <c r="P473" s="355">
        <v>544336</v>
      </c>
      <c r="Q473" s="355">
        <v>555472</v>
      </c>
      <c r="R473" s="355">
        <v>581664</v>
      </c>
      <c r="S473" s="355">
        <v>600378</v>
      </c>
      <c r="T473" s="355">
        <v>607631</v>
      </c>
      <c r="U473" s="59">
        <f t="shared" si="44"/>
        <v>422123</v>
      </c>
      <c r="V473" s="59">
        <f t="shared" si="45"/>
        <v>607631</v>
      </c>
      <c r="W473" s="59">
        <f t="shared" si="46"/>
        <v>534952.9</v>
      </c>
      <c r="X473" s="60">
        <f t="shared" si="47"/>
        <v>143.9464326748365</v>
      </c>
      <c r="AC473" s="53"/>
      <c r="AL473" s="65">
        <f>_xlfn.IFERROR(INDEX('Tabela PW'!$T:$T,'Słownik PW'!C473,1),"")</f>
        <v>607631</v>
      </c>
    </row>
    <row r="474" spans="1:38" ht="15">
      <c r="A474" s="4" t="s">
        <v>464</v>
      </c>
      <c r="B474" s="5" t="s">
        <v>684</v>
      </c>
      <c r="C474" s="49" t="s">
        <v>480</v>
      </c>
      <c r="D474" s="349">
        <f t="shared" si="43"/>
        <v>13</v>
      </c>
      <c r="E474" s="350" t="s">
        <v>1179</v>
      </c>
      <c r="F474" s="51" t="s">
        <v>25</v>
      </c>
      <c r="G474" s="351" t="s">
        <v>683</v>
      </c>
      <c r="H474" s="351" t="s">
        <v>2324</v>
      </c>
      <c r="I474" s="351" t="s">
        <v>2325</v>
      </c>
      <c r="J474" s="351" t="s">
        <v>4173</v>
      </c>
      <c r="K474" s="354">
        <v>42745</v>
      </c>
      <c r="L474" s="355">
        <v>42522</v>
      </c>
      <c r="M474" s="354">
        <v>41368</v>
      </c>
      <c r="N474" s="355">
        <v>42618</v>
      </c>
      <c r="O474" s="355">
        <v>53228</v>
      </c>
      <c r="P474" s="355">
        <v>59011</v>
      </c>
      <c r="Q474" s="355">
        <v>61307</v>
      </c>
      <c r="R474" s="355">
        <v>64229</v>
      </c>
      <c r="S474" s="355">
        <v>64070</v>
      </c>
      <c r="T474" s="355">
        <v>56657</v>
      </c>
      <c r="U474" s="59">
        <f t="shared" si="44"/>
        <v>41368</v>
      </c>
      <c r="V474" s="59">
        <f t="shared" si="45"/>
        <v>64229</v>
      </c>
      <c r="W474" s="59">
        <f t="shared" si="46"/>
        <v>52775.5</v>
      </c>
      <c r="X474" s="60">
        <f t="shared" si="47"/>
        <v>132.54649666627677</v>
      </c>
      <c r="AC474" s="53"/>
      <c r="AL474" s="65">
        <f>_xlfn.IFERROR(INDEX('Tabela PW'!$T:$T,'Słownik PW'!C474,1),"")</f>
        <v>56657</v>
      </c>
    </row>
    <row r="475" spans="1:38" ht="15">
      <c r="A475" s="4" t="s">
        <v>464</v>
      </c>
      <c r="B475" s="5" t="s">
        <v>684</v>
      </c>
      <c r="C475" s="49" t="s">
        <v>481</v>
      </c>
      <c r="D475" s="349">
        <f t="shared" si="43"/>
        <v>77</v>
      </c>
      <c r="E475" s="350" t="s">
        <v>1180</v>
      </c>
      <c r="F475" s="51" t="s">
        <v>25</v>
      </c>
      <c r="G475" s="351" t="s">
        <v>683</v>
      </c>
      <c r="H475" s="351" t="s">
        <v>2326</v>
      </c>
      <c r="I475" s="351" t="s">
        <v>2327</v>
      </c>
      <c r="J475" s="351" t="s">
        <v>4174</v>
      </c>
      <c r="K475" s="354">
        <v>34978</v>
      </c>
      <c r="L475" s="355">
        <v>35058</v>
      </c>
      <c r="M475" s="354">
        <v>33396</v>
      </c>
      <c r="N475" s="355">
        <v>35518</v>
      </c>
      <c r="O475" s="355">
        <v>41480</v>
      </c>
      <c r="P475" s="355">
        <v>49204</v>
      </c>
      <c r="Q475" s="355">
        <v>49777</v>
      </c>
      <c r="R475" s="355">
        <v>52636</v>
      </c>
      <c r="S475" s="355">
        <v>51594</v>
      </c>
      <c r="T475" s="355">
        <v>48199</v>
      </c>
      <c r="U475" s="59">
        <f t="shared" si="44"/>
        <v>33396</v>
      </c>
      <c r="V475" s="59">
        <f t="shared" si="45"/>
        <v>52636</v>
      </c>
      <c r="W475" s="59">
        <f t="shared" si="46"/>
        <v>43184</v>
      </c>
      <c r="X475" s="60">
        <f t="shared" si="47"/>
        <v>137.79804448510492</v>
      </c>
      <c r="AC475" s="53"/>
      <c r="AL475" s="65">
        <f>_xlfn.IFERROR(INDEX('Tabela PW'!$T:$T,'Słownik PW'!C475,1),"")</f>
        <v>48199</v>
      </c>
    </row>
    <row r="476" spans="1:38" ht="15">
      <c r="A476" s="4" t="s">
        <v>464</v>
      </c>
      <c r="B476" s="5" t="s">
        <v>684</v>
      </c>
      <c r="C476" s="49" t="s">
        <v>482</v>
      </c>
      <c r="D476" s="349">
        <f t="shared" si="43"/>
        <v>80</v>
      </c>
      <c r="E476" s="350" t="s">
        <v>1181</v>
      </c>
      <c r="F476" s="51" t="s">
        <v>25</v>
      </c>
      <c r="G476" s="351" t="s">
        <v>683</v>
      </c>
      <c r="H476" s="351" t="s">
        <v>2328</v>
      </c>
      <c r="I476" s="351" t="s">
        <v>2329</v>
      </c>
      <c r="J476" s="351" t="s">
        <v>4175</v>
      </c>
      <c r="K476" s="354">
        <v>7326</v>
      </c>
      <c r="L476" s="355">
        <v>8619</v>
      </c>
      <c r="M476" s="354">
        <v>8293</v>
      </c>
      <c r="N476" s="355">
        <v>7391</v>
      </c>
      <c r="O476" s="355">
        <v>11997</v>
      </c>
      <c r="P476" s="355">
        <v>9832</v>
      </c>
      <c r="Q476" s="355">
        <v>11553</v>
      </c>
      <c r="R476" s="355">
        <v>11593</v>
      </c>
      <c r="S476" s="355">
        <v>12477</v>
      </c>
      <c r="T476" s="355">
        <v>8461</v>
      </c>
      <c r="U476" s="59">
        <f t="shared" si="44"/>
        <v>7326</v>
      </c>
      <c r="V476" s="59">
        <f t="shared" si="45"/>
        <v>12477</v>
      </c>
      <c r="W476" s="59">
        <f t="shared" si="46"/>
        <v>9754.2</v>
      </c>
      <c r="X476" s="60">
        <f t="shared" si="47"/>
        <v>115.4927654927655</v>
      </c>
      <c r="AC476" s="53"/>
      <c r="AL476" s="65">
        <f>_xlfn.IFERROR(INDEX('Tabela PW'!$T:$T,'Słownik PW'!C476,1),"")</f>
        <v>8461</v>
      </c>
    </row>
    <row r="477" spans="1:38" ht="15">
      <c r="A477" s="4" t="s">
        <v>464</v>
      </c>
      <c r="B477" s="5" t="s">
        <v>684</v>
      </c>
      <c r="C477" s="49" t="s">
        <v>483</v>
      </c>
      <c r="D477" s="349">
        <f t="shared" si="43"/>
        <v>41</v>
      </c>
      <c r="E477" s="350" t="s">
        <v>1182</v>
      </c>
      <c r="F477" s="51" t="s">
        <v>25</v>
      </c>
      <c r="G477" s="351" t="s">
        <v>683</v>
      </c>
      <c r="H477" s="351" t="s">
        <v>2330</v>
      </c>
      <c r="I477" s="351" t="s">
        <v>2331</v>
      </c>
      <c r="J477" s="351" t="s">
        <v>4176</v>
      </c>
      <c r="K477" s="354">
        <v>119998</v>
      </c>
      <c r="L477" s="355">
        <v>172251</v>
      </c>
      <c r="M477" s="354">
        <v>187600</v>
      </c>
      <c r="N477" s="355">
        <v>169415</v>
      </c>
      <c r="O477" s="355">
        <v>164172</v>
      </c>
      <c r="P477" s="355">
        <v>175763</v>
      </c>
      <c r="Q477" s="355">
        <v>176138</v>
      </c>
      <c r="R477" s="355">
        <v>172011</v>
      </c>
      <c r="S477" s="355">
        <v>169757</v>
      </c>
      <c r="T477" s="355">
        <v>196140</v>
      </c>
      <c r="U477" s="59">
        <f t="shared" si="44"/>
        <v>119998</v>
      </c>
      <c r="V477" s="59">
        <f t="shared" si="45"/>
        <v>196140</v>
      </c>
      <c r="W477" s="59">
        <f t="shared" si="46"/>
        <v>170324.5</v>
      </c>
      <c r="X477" s="60">
        <f t="shared" si="47"/>
        <v>163.4527242120702</v>
      </c>
      <c r="AC477" s="53"/>
      <c r="AL477" s="65">
        <f>_xlfn.IFERROR(INDEX('Tabela PW'!$T:$T,'Słownik PW'!C477,1),"")</f>
        <v>196140</v>
      </c>
    </row>
    <row r="478" spans="1:38" ht="15">
      <c r="A478" s="4" t="s">
        <v>464</v>
      </c>
      <c r="B478" s="5" t="s">
        <v>684</v>
      </c>
      <c r="C478" s="49" t="s">
        <v>484</v>
      </c>
      <c r="D478" s="349">
        <f t="shared" si="43"/>
        <v>41</v>
      </c>
      <c r="E478" s="350" t="s">
        <v>1183</v>
      </c>
      <c r="F478" s="51" t="s">
        <v>139</v>
      </c>
      <c r="G478" s="351" t="s">
        <v>674</v>
      </c>
      <c r="H478" s="351" t="s">
        <v>2332</v>
      </c>
      <c r="I478" s="351" t="s">
        <v>2333</v>
      </c>
      <c r="J478" s="351" t="s">
        <v>4177</v>
      </c>
      <c r="K478" s="354">
        <v>90544608</v>
      </c>
      <c r="L478" s="355">
        <v>104177943</v>
      </c>
      <c r="M478" s="354">
        <v>94746428</v>
      </c>
      <c r="N478" s="355">
        <v>97543734</v>
      </c>
      <c r="O478" s="355">
        <v>102012668</v>
      </c>
      <c r="P478" s="355">
        <v>99074812</v>
      </c>
      <c r="Q478" s="355">
        <v>106912938</v>
      </c>
      <c r="R478" s="355">
        <v>106560622</v>
      </c>
      <c r="S478" s="355">
        <v>125071756</v>
      </c>
      <c r="T478" s="355">
        <v>113293013</v>
      </c>
      <c r="U478" s="59">
        <f t="shared" si="44"/>
        <v>90544608</v>
      </c>
      <c r="V478" s="59">
        <f t="shared" si="45"/>
        <v>125071756</v>
      </c>
      <c r="W478" s="59">
        <f t="shared" si="46"/>
        <v>103993852.2</v>
      </c>
      <c r="X478" s="60">
        <f t="shared" si="47"/>
        <v>125.12397535588204</v>
      </c>
      <c r="AC478" s="53"/>
      <c r="AL478" s="65">
        <f>_xlfn.IFERROR(INDEX('Tabela PW'!$T:$T,'Słownik PW'!C478,1),"")</f>
        <v>113293013</v>
      </c>
    </row>
    <row r="479" spans="1:38" ht="15">
      <c r="A479" s="4" t="s">
        <v>464</v>
      </c>
      <c r="B479" s="5" t="s">
        <v>684</v>
      </c>
      <c r="C479" s="49" t="s">
        <v>485</v>
      </c>
      <c r="D479" s="349">
        <f t="shared" si="43"/>
        <v>22</v>
      </c>
      <c r="E479" s="350" t="s">
        <v>1184</v>
      </c>
      <c r="F479" s="51" t="s">
        <v>139</v>
      </c>
      <c r="G479" s="351" t="s">
        <v>674</v>
      </c>
      <c r="H479" s="351" t="s">
        <v>2334</v>
      </c>
      <c r="I479" s="351" t="s">
        <v>2335</v>
      </c>
      <c r="J479" s="351" t="s">
        <v>4178</v>
      </c>
      <c r="K479" s="354">
        <v>43008767</v>
      </c>
      <c r="L479" s="355">
        <v>45411333</v>
      </c>
      <c r="M479" s="354">
        <v>48268379</v>
      </c>
      <c r="N479" s="355">
        <v>61193986</v>
      </c>
      <c r="O479" s="355">
        <v>74065668</v>
      </c>
      <c r="P479" s="355">
        <v>83755686</v>
      </c>
      <c r="Q479" s="355">
        <v>81876507</v>
      </c>
      <c r="R479" s="355">
        <v>90668603</v>
      </c>
      <c r="S479" s="355">
        <v>99228605</v>
      </c>
      <c r="T479" s="355">
        <v>94464292</v>
      </c>
      <c r="U479" s="59">
        <f t="shared" si="44"/>
        <v>43008767</v>
      </c>
      <c r="V479" s="59">
        <f t="shared" si="45"/>
        <v>99228605</v>
      </c>
      <c r="W479" s="59">
        <f t="shared" si="46"/>
        <v>72194182.6</v>
      </c>
      <c r="X479" s="60">
        <f t="shared" si="47"/>
        <v>219.63961905720294</v>
      </c>
      <c r="AC479" s="53"/>
      <c r="AL479" s="65">
        <f>_xlfn.IFERROR(INDEX('Tabela PW'!$T:$T,'Słownik PW'!C479,1),"")</f>
        <v>94464292</v>
      </c>
    </row>
    <row r="480" spans="1:38" ht="15">
      <c r="A480" s="4" t="s">
        <v>464</v>
      </c>
      <c r="B480" s="5" t="s">
        <v>684</v>
      </c>
      <c r="C480" s="49" t="s">
        <v>486</v>
      </c>
      <c r="D480" s="349">
        <f t="shared" si="43"/>
        <v>78</v>
      </c>
      <c r="E480" s="350" t="s">
        <v>1185</v>
      </c>
      <c r="F480" s="51" t="s">
        <v>25</v>
      </c>
      <c r="G480" s="351" t="s">
        <v>683</v>
      </c>
      <c r="H480" s="351" t="s">
        <v>2336</v>
      </c>
      <c r="I480" s="351" t="s">
        <v>2337</v>
      </c>
      <c r="J480" s="351" t="s">
        <v>4179</v>
      </c>
      <c r="K480" s="354">
        <v>11456</v>
      </c>
      <c r="L480" s="355">
        <v>13682</v>
      </c>
      <c r="M480" s="354">
        <v>13487</v>
      </c>
      <c r="N480" s="355">
        <v>11824</v>
      </c>
      <c r="O480" s="355">
        <v>11625</v>
      </c>
      <c r="P480" s="355">
        <v>10362</v>
      </c>
      <c r="Q480" s="355">
        <v>10701</v>
      </c>
      <c r="R480" s="355">
        <v>12315</v>
      </c>
      <c r="S480" s="355">
        <v>12993</v>
      </c>
      <c r="T480" s="355">
        <v>11801</v>
      </c>
      <c r="U480" s="59">
        <f t="shared" si="44"/>
        <v>10362</v>
      </c>
      <c r="V480" s="59">
        <f t="shared" si="45"/>
        <v>13682</v>
      </c>
      <c r="W480" s="59">
        <f t="shared" si="46"/>
        <v>12024.6</v>
      </c>
      <c r="X480" s="60">
        <f t="shared" si="47"/>
        <v>103.01152234636872</v>
      </c>
      <c r="AC480" s="53"/>
      <c r="AL480" s="65">
        <f>_xlfn.IFERROR(INDEX('Tabela PW'!$T:$T,'Słownik PW'!C480,1),"")</f>
        <v>11801</v>
      </c>
    </row>
    <row r="481" spans="1:38" ht="15">
      <c r="A481" s="4" t="s">
        <v>464</v>
      </c>
      <c r="B481" s="5" t="s">
        <v>684</v>
      </c>
      <c r="C481" s="49" t="s">
        <v>487</v>
      </c>
      <c r="D481" s="349">
        <f t="shared" si="43"/>
        <v>79</v>
      </c>
      <c r="E481" s="350" t="s">
        <v>1186</v>
      </c>
      <c r="F481" s="51" t="s">
        <v>25</v>
      </c>
      <c r="G481" s="351" t="s">
        <v>683</v>
      </c>
      <c r="H481" s="351" t="s">
        <v>2338</v>
      </c>
      <c r="I481" s="351" t="s">
        <v>2339</v>
      </c>
      <c r="J481" s="351" t="s">
        <v>4180</v>
      </c>
      <c r="K481" s="354">
        <v>126435</v>
      </c>
      <c r="L481" s="355">
        <v>138753</v>
      </c>
      <c r="M481" s="354">
        <v>129433</v>
      </c>
      <c r="N481" s="355">
        <v>130166</v>
      </c>
      <c r="O481" s="355">
        <v>125634</v>
      </c>
      <c r="P481" s="355">
        <v>126668</v>
      </c>
      <c r="Q481" s="355">
        <v>122201</v>
      </c>
      <c r="R481" s="355">
        <v>127914</v>
      </c>
      <c r="S481" s="355">
        <v>160990</v>
      </c>
      <c r="T481" s="355">
        <v>180296</v>
      </c>
      <c r="U481" s="59">
        <f t="shared" si="44"/>
        <v>122201</v>
      </c>
      <c r="V481" s="59">
        <f t="shared" si="45"/>
        <v>180296</v>
      </c>
      <c r="W481" s="59">
        <f t="shared" si="46"/>
        <v>136849</v>
      </c>
      <c r="X481" s="60">
        <f t="shared" si="47"/>
        <v>142.59975481472694</v>
      </c>
      <c r="AC481" s="53"/>
      <c r="AL481" s="65">
        <f>_xlfn.IFERROR(INDEX('Tabela PW'!$T:$T,'Słownik PW'!C481,1),"")</f>
        <v>180296</v>
      </c>
    </row>
    <row r="482" spans="1:38" ht="15">
      <c r="A482" s="4" t="s">
        <v>464</v>
      </c>
      <c r="B482" s="5" t="s">
        <v>684</v>
      </c>
      <c r="C482" s="49" t="s">
        <v>488</v>
      </c>
      <c r="D482" s="349">
        <f t="shared" si="43"/>
        <v>83</v>
      </c>
      <c r="E482" s="350" t="s">
        <v>1187</v>
      </c>
      <c r="F482" s="51" t="s">
        <v>139</v>
      </c>
      <c r="G482" s="351" t="s">
        <v>674</v>
      </c>
      <c r="H482" s="351" t="s">
        <v>2340</v>
      </c>
      <c r="I482" s="351" t="s">
        <v>2341</v>
      </c>
      <c r="J482" s="351" t="s">
        <v>4181</v>
      </c>
      <c r="K482" s="354">
        <v>4888761</v>
      </c>
      <c r="L482" s="355">
        <v>5352875</v>
      </c>
      <c r="M482" s="354">
        <v>6550394</v>
      </c>
      <c r="N482" s="355">
        <v>6125705</v>
      </c>
      <c r="O482" s="355">
        <v>22541027</v>
      </c>
      <c r="P482" s="355">
        <v>23039948</v>
      </c>
      <c r="Q482" s="355">
        <v>24488320</v>
      </c>
      <c r="R482" s="355">
        <v>25768275</v>
      </c>
      <c r="S482" s="355">
        <v>23616096</v>
      </c>
      <c r="T482" s="355">
        <v>22635821</v>
      </c>
      <c r="U482" s="59">
        <f t="shared" si="44"/>
        <v>4888761</v>
      </c>
      <c r="V482" s="59">
        <f t="shared" si="45"/>
        <v>25768275</v>
      </c>
      <c r="W482" s="59">
        <f t="shared" si="46"/>
        <v>16500722.2</v>
      </c>
      <c r="X482" s="60">
        <f t="shared" si="47"/>
        <v>463.0175416634194</v>
      </c>
      <c r="AC482" s="53"/>
      <c r="AL482" s="65">
        <f>_xlfn.IFERROR(INDEX('Tabela PW'!$T:$T,'Słownik PW'!C482,1),"")</f>
        <v>22635821</v>
      </c>
    </row>
    <row r="483" spans="1:38" ht="15">
      <c r="A483" s="4" t="s">
        <v>464</v>
      </c>
      <c r="B483" s="5" t="s">
        <v>684</v>
      </c>
      <c r="C483" s="49" t="s">
        <v>489</v>
      </c>
      <c r="D483" s="349">
        <f t="shared" si="43"/>
        <v>70</v>
      </c>
      <c r="E483" s="350" t="s">
        <v>1188</v>
      </c>
      <c r="F483" s="51" t="s">
        <v>139</v>
      </c>
      <c r="G483" s="351" t="s">
        <v>674</v>
      </c>
      <c r="H483" s="351" t="s">
        <v>2342</v>
      </c>
      <c r="I483" s="351" t="s">
        <v>2343</v>
      </c>
      <c r="J483" s="351" t="s">
        <v>4182</v>
      </c>
      <c r="K483" s="354">
        <v>512768</v>
      </c>
      <c r="L483" s="355">
        <v>351440</v>
      </c>
      <c r="M483" s="354">
        <v>308612</v>
      </c>
      <c r="N483" s="355">
        <v>303670</v>
      </c>
      <c r="O483" s="355">
        <v>178448</v>
      </c>
      <c r="P483" s="355">
        <v>263354</v>
      </c>
      <c r="Q483" s="355">
        <v>193500</v>
      </c>
      <c r="R483" s="355">
        <v>91668</v>
      </c>
      <c r="S483" s="355">
        <v>68528</v>
      </c>
      <c r="T483" s="355">
        <v>61420</v>
      </c>
      <c r="U483" s="59">
        <f t="shared" si="44"/>
        <v>61420</v>
      </c>
      <c r="V483" s="59">
        <f t="shared" si="45"/>
        <v>512768</v>
      </c>
      <c r="W483" s="59">
        <f t="shared" si="46"/>
        <v>233340.8</v>
      </c>
      <c r="X483" s="60">
        <f t="shared" si="47"/>
        <v>11.97812656015976</v>
      </c>
      <c r="AC483" s="53"/>
      <c r="AL483" s="65">
        <f>_xlfn.IFERROR(INDEX('Tabela PW'!$T:$T,'Słownik PW'!C483,1),"")</f>
        <v>61420</v>
      </c>
    </row>
    <row r="484" spans="1:38" ht="15">
      <c r="A484" s="4" t="s">
        <v>464</v>
      </c>
      <c r="B484" s="5" t="s">
        <v>684</v>
      </c>
      <c r="C484" s="49" t="s">
        <v>490</v>
      </c>
      <c r="D484" s="349">
        <f t="shared" si="43"/>
        <v>38</v>
      </c>
      <c r="E484" s="350" t="s">
        <v>1189</v>
      </c>
      <c r="F484" s="51" t="s">
        <v>154</v>
      </c>
      <c r="G484" s="351" t="s">
        <v>682</v>
      </c>
      <c r="H484" s="351" t="s">
        <v>2344</v>
      </c>
      <c r="I484" s="351" t="s">
        <v>2345</v>
      </c>
      <c r="J484" s="351" t="s">
        <v>4183</v>
      </c>
      <c r="K484" s="354">
        <v>418468</v>
      </c>
      <c r="L484" s="355">
        <v>368669</v>
      </c>
      <c r="M484" s="354">
        <v>348182</v>
      </c>
      <c r="N484" s="355">
        <v>377260</v>
      </c>
      <c r="O484" s="355">
        <v>315157</v>
      </c>
      <c r="P484" s="355">
        <v>406603</v>
      </c>
      <c r="Q484" s="355">
        <v>363613</v>
      </c>
      <c r="R484" s="355">
        <v>328666</v>
      </c>
      <c r="S484" s="355">
        <v>345310</v>
      </c>
      <c r="T484" s="355">
        <v>313174</v>
      </c>
      <c r="U484" s="59">
        <f t="shared" si="44"/>
        <v>313174</v>
      </c>
      <c r="V484" s="59">
        <f t="shared" si="45"/>
        <v>418468</v>
      </c>
      <c r="W484" s="59">
        <f t="shared" si="46"/>
        <v>358510.2</v>
      </c>
      <c r="X484" s="60">
        <f t="shared" si="47"/>
        <v>74.83821940984735</v>
      </c>
      <c r="AC484" s="53"/>
      <c r="AL484" s="65">
        <f>_xlfn.IFERROR(INDEX('Tabela PW'!$T:$T,'Słownik PW'!C484,1),"")</f>
        <v>313174</v>
      </c>
    </row>
    <row r="485" spans="1:38" ht="15">
      <c r="A485" s="4" t="s">
        <v>464</v>
      </c>
      <c r="B485" s="5" t="s">
        <v>684</v>
      </c>
      <c r="C485" s="49" t="s">
        <v>491</v>
      </c>
      <c r="D485" s="349">
        <f t="shared" si="43"/>
        <v>25</v>
      </c>
      <c r="E485" s="350" t="s">
        <v>1190</v>
      </c>
      <c r="F485" s="51" t="s">
        <v>154</v>
      </c>
      <c r="G485" s="351" t="s">
        <v>682</v>
      </c>
      <c r="H485" s="351" t="s">
        <v>2346</v>
      </c>
      <c r="I485" s="351" t="s">
        <v>2347</v>
      </c>
      <c r="J485" s="351" t="s">
        <v>4184</v>
      </c>
      <c r="K485" s="354">
        <v>144390</v>
      </c>
      <c r="L485" s="355">
        <v>107650</v>
      </c>
      <c r="M485" s="354">
        <v>123573</v>
      </c>
      <c r="N485" s="355">
        <v>93822</v>
      </c>
      <c r="O485" s="355">
        <v>43667</v>
      </c>
      <c r="P485" s="355">
        <v>29001</v>
      </c>
      <c r="Q485" s="356" t="s">
        <v>4569</v>
      </c>
      <c r="R485" s="355" t="s">
        <v>4569</v>
      </c>
      <c r="S485" s="355" t="s">
        <v>4569</v>
      </c>
      <c r="T485" s="355" t="s">
        <v>4569</v>
      </c>
      <c r="U485" s="59">
        <f t="shared" si="44"/>
        <v>29001</v>
      </c>
      <c r="V485" s="59">
        <f t="shared" si="45"/>
        <v>144390</v>
      </c>
      <c r="W485" s="59">
        <f t="shared" si="46"/>
        <v>90350.5</v>
      </c>
      <c r="X485" s="60" t="str">
        <f t="shared" si="47"/>
        <v>-</v>
      </c>
      <c r="AC485" s="53"/>
      <c r="AL485" s="65" t="str">
        <f>_xlfn.IFERROR(INDEX('Tabela PW'!$T:$T,'Słownik PW'!C485,1),"")</f>
        <v>—</v>
      </c>
    </row>
    <row r="486" spans="1:38" ht="15">
      <c r="A486" s="4" t="s">
        <v>464</v>
      </c>
      <c r="B486" s="5" t="s">
        <v>684</v>
      </c>
      <c r="C486" s="49" t="s">
        <v>492</v>
      </c>
      <c r="D486" s="349">
        <f t="shared" si="43"/>
        <v>65</v>
      </c>
      <c r="E486" s="350" t="s">
        <v>1191</v>
      </c>
      <c r="F486" s="51" t="s">
        <v>25</v>
      </c>
      <c r="G486" s="351" t="s">
        <v>683</v>
      </c>
      <c r="H486" s="351" t="s">
        <v>2348</v>
      </c>
      <c r="I486" s="351" t="s">
        <v>2349</v>
      </c>
      <c r="J486" s="351" t="s">
        <v>4185</v>
      </c>
      <c r="K486" s="354">
        <v>3242</v>
      </c>
      <c r="L486" s="355">
        <v>3074</v>
      </c>
      <c r="M486" s="354">
        <v>3740</v>
      </c>
      <c r="N486" s="355">
        <v>5112</v>
      </c>
      <c r="O486" s="355">
        <v>5759</v>
      </c>
      <c r="P486" s="355">
        <v>5805</v>
      </c>
      <c r="Q486" s="355">
        <v>6721</v>
      </c>
      <c r="R486" s="355">
        <v>6536</v>
      </c>
      <c r="S486" s="355">
        <v>5741</v>
      </c>
      <c r="T486" s="355">
        <v>5441</v>
      </c>
      <c r="U486" s="59">
        <f t="shared" si="44"/>
        <v>3074</v>
      </c>
      <c r="V486" s="59">
        <f t="shared" si="45"/>
        <v>6721</v>
      </c>
      <c r="W486" s="59">
        <f t="shared" si="46"/>
        <v>5117.1</v>
      </c>
      <c r="X486" s="60">
        <f t="shared" si="47"/>
        <v>167.82850092535472</v>
      </c>
      <c r="AC486" s="53"/>
      <c r="AL486" s="65">
        <f>_xlfn.IFERROR(INDEX('Tabela PW'!$T:$T,'Słownik PW'!C486,1),"")</f>
        <v>5441</v>
      </c>
    </row>
    <row r="487" spans="1:38" ht="15">
      <c r="A487" s="4" t="s">
        <v>464</v>
      </c>
      <c r="B487" s="5" t="s">
        <v>684</v>
      </c>
      <c r="C487" s="49" t="s">
        <v>493</v>
      </c>
      <c r="D487" s="349">
        <f t="shared" si="43"/>
        <v>84</v>
      </c>
      <c r="E487" s="350" t="s">
        <v>1192</v>
      </c>
      <c r="F487" s="51" t="s">
        <v>139</v>
      </c>
      <c r="G487" s="351" t="s">
        <v>674</v>
      </c>
      <c r="H487" s="351" t="s">
        <v>2350</v>
      </c>
      <c r="I487" s="351" t="s">
        <v>2351</v>
      </c>
      <c r="J487" s="351" t="s">
        <v>4186</v>
      </c>
      <c r="K487" s="354">
        <v>2998033</v>
      </c>
      <c r="L487" s="355">
        <v>3607554</v>
      </c>
      <c r="M487" s="354">
        <v>2904343</v>
      </c>
      <c r="N487" s="355">
        <v>2985251</v>
      </c>
      <c r="O487" s="355">
        <v>1789917</v>
      </c>
      <c r="P487" s="355">
        <v>2549777</v>
      </c>
      <c r="Q487" s="355">
        <v>2950541</v>
      </c>
      <c r="R487" s="355">
        <v>2988964</v>
      </c>
      <c r="S487" s="355">
        <v>841600</v>
      </c>
      <c r="T487" s="355">
        <v>751900</v>
      </c>
      <c r="U487" s="59">
        <f t="shared" si="44"/>
        <v>751900</v>
      </c>
      <c r="V487" s="59">
        <f t="shared" si="45"/>
        <v>3607554</v>
      </c>
      <c r="W487" s="59">
        <f t="shared" si="46"/>
        <v>2436788</v>
      </c>
      <c r="X487" s="60">
        <f t="shared" si="47"/>
        <v>25.079777307321166</v>
      </c>
      <c r="AC487" s="53"/>
      <c r="AL487" s="65">
        <f>_xlfn.IFERROR(INDEX('Tabela PW'!$T:$T,'Słownik PW'!C487,1),"")</f>
        <v>751900</v>
      </c>
    </row>
    <row r="488" spans="1:38" ht="15">
      <c r="A488" s="4" t="s">
        <v>464</v>
      </c>
      <c r="B488" s="5" t="s">
        <v>684</v>
      </c>
      <c r="C488" s="49" t="s">
        <v>494</v>
      </c>
      <c r="D488" s="349">
        <f t="shared" si="43"/>
        <v>82</v>
      </c>
      <c r="E488" s="350" t="s">
        <v>1193</v>
      </c>
      <c r="F488" s="51" t="s">
        <v>139</v>
      </c>
      <c r="G488" s="351" t="s">
        <v>674</v>
      </c>
      <c r="H488" s="351" t="s">
        <v>2352</v>
      </c>
      <c r="I488" s="351" t="s">
        <v>2353</v>
      </c>
      <c r="J488" s="351" t="s">
        <v>4187</v>
      </c>
      <c r="K488" s="354">
        <v>990013</v>
      </c>
      <c r="L488" s="355">
        <v>996182</v>
      </c>
      <c r="M488" s="354">
        <v>1247824</v>
      </c>
      <c r="N488" s="355">
        <v>1248611</v>
      </c>
      <c r="O488" s="355">
        <v>1168861</v>
      </c>
      <c r="P488" s="355">
        <v>1109374</v>
      </c>
      <c r="Q488" s="355">
        <v>1452450</v>
      </c>
      <c r="R488" s="355">
        <v>1516762</v>
      </c>
      <c r="S488" s="355">
        <v>734794</v>
      </c>
      <c r="T488" s="355">
        <v>425802</v>
      </c>
      <c r="U488" s="59">
        <f t="shared" si="44"/>
        <v>425802</v>
      </c>
      <c r="V488" s="59">
        <f t="shared" si="45"/>
        <v>1516762</v>
      </c>
      <c r="W488" s="59">
        <f t="shared" si="46"/>
        <v>1089067.3</v>
      </c>
      <c r="X488" s="60">
        <f t="shared" si="47"/>
        <v>43.00973825596229</v>
      </c>
      <c r="AC488" s="53"/>
      <c r="AL488" s="65">
        <f>_xlfn.IFERROR(INDEX('Tabela PW'!$T:$T,'Słownik PW'!C488,1),"")</f>
        <v>425802</v>
      </c>
    </row>
    <row r="489" spans="1:38" ht="15">
      <c r="A489" s="4" t="s">
        <v>464</v>
      </c>
      <c r="B489" s="5" t="s">
        <v>684</v>
      </c>
      <c r="C489" s="49" t="s">
        <v>495</v>
      </c>
      <c r="D489" s="349">
        <f t="shared" si="43"/>
        <v>42</v>
      </c>
      <c r="E489" s="350" t="s">
        <v>1194</v>
      </c>
      <c r="F489" s="51" t="s">
        <v>25</v>
      </c>
      <c r="G489" s="351" t="s">
        <v>683</v>
      </c>
      <c r="H489" s="351" t="s">
        <v>2354</v>
      </c>
      <c r="I489" s="351" t="s">
        <v>2355</v>
      </c>
      <c r="J489" s="351" t="s">
        <v>4188</v>
      </c>
      <c r="K489" s="354">
        <v>14617</v>
      </c>
      <c r="L489" s="355">
        <v>16782</v>
      </c>
      <c r="M489" s="354">
        <v>19905</v>
      </c>
      <c r="N489" s="355">
        <v>18110</v>
      </c>
      <c r="O489" s="355">
        <v>16745</v>
      </c>
      <c r="P489" s="355">
        <v>14092</v>
      </c>
      <c r="Q489" s="355">
        <v>13977</v>
      </c>
      <c r="R489" s="355">
        <v>13663</v>
      </c>
      <c r="S489" s="355">
        <v>16267</v>
      </c>
      <c r="T489" s="355">
        <v>15848</v>
      </c>
      <c r="U489" s="59">
        <f t="shared" si="44"/>
        <v>13663</v>
      </c>
      <c r="V489" s="59">
        <f t="shared" si="45"/>
        <v>19905</v>
      </c>
      <c r="W489" s="59">
        <f t="shared" si="46"/>
        <v>16000.6</v>
      </c>
      <c r="X489" s="60">
        <f t="shared" si="47"/>
        <v>108.42170075938975</v>
      </c>
      <c r="AC489" s="53"/>
      <c r="AL489" s="65">
        <f>_xlfn.IFERROR(INDEX('Tabela PW'!$T:$T,'Słownik PW'!C489,1),"")</f>
        <v>15848</v>
      </c>
    </row>
    <row r="490" spans="1:38" ht="15">
      <c r="A490" s="4" t="s">
        <v>496</v>
      </c>
      <c r="B490" s="5" t="s">
        <v>662</v>
      </c>
      <c r="C490" s="49" t="s">
        <v>497</v>
      </c>
      <c r="D490" s="349">
        <f t="shared" si="43"/>
        <v>55</v>
      </c>
      <c r="E490" s="350" t="s">
        <v>1195</v>
      </c>
      <c r="F490" s="51" t="s">
        <v>154</v>
      </c>
      <c r="G490" s="351" t="s">
        <v>682</v>
      </c>
      <c r="H490" s="351" t="s">
        <v>2356</v>
      </c>
      <c r="I490" s="351" t="s">
        <v>2357</v>
      </c>
      <c r="J490" s="351" t="s">
        <v>4189</v>
      </c>
      <c r="K490" s="356">
        <v>26000</v>
      </c>
      <c r="L490" s="356">
        <v>26000</v>
      </c>
      <c r="M490" s="356">
        <v>26000</v>
      </c>
      <c r="N490" s="356">
        <v>9000</v>
      </c>
      <c r="O490" s="355">
        <v>35000</v>
      </c>
      <c r="P490" s="355">
        <v>12574</v>
      </c>
      <c r="Q490" s="355">
        <v>15520</v>
      </c>
      <c r="R490" s="355">
        <v>11462</v>
      </c>
      <c r="S490" s="355">
        <v>12861</v>
      </c>
      <c r="T490" s="355">
        <v>10255</v>
      </c>
      <c r="U490" s="59">
        <f t="shared" si="44"/>
        <v>9000</v>
      </c>
      <c r="V490" s="59">
        <f t="shared" si="45"/>
        <v>35000</v>
      </c>
      <c r="W490" s="59">
        <f t="shared" si="46"/>
        <v>18467.2</v>
      </c>
      <c r="X490" s="60">
        <f t="shared" si="47"/>
        <v>39.44230769230769</v>
      </c>
      <c r="AC490" s="53"/>
      <c r="AL490" s="65">
        <f>_xlfn.IFERROR(INDEX('Tabela PW'!$T:$T,'Słownik PW'!C490,1),"")</f>
        <v>10255</v>
      </c>
    </row>
    <row r="491" spans="1:38" ht="15">
      <c r="A491" s="4" t="s">
        <v>496</v>
      </c>
      <c r="B491" s="5" t="s">
        <v>662</v>
      </c>
      <c r="C491" s="49" t="s">
        <v>498</v>
      </c>
      <c r="D491" s="349">
        <f t="shared" si="43"/>
        <v>42</v>
      </c>
      <c r="E491" s="350" t="s">
        <v>1196</v>
      </c>
      <c r="F491" s="51" t="s">
        <v>156</v>
      </c>
      <c r="G491" s="351" t="s">
        <v>705</v>
      </c>
      <c r="H491" s="351" t="s">
        <v>2358</v>
      </c>
      <c r="I491" s="351" t="s">
        <v>2359</v>
      </c>
      <c r="J491" s="351" t="s">
        <v>4191</v>
      </c>
      <c r="K491" s="354">
        <v>205359</v>
      </c>
      <c r="L491" s="355">
        <v>233697</v>
      </c>
      <c r="M491" s="354">
        <v>259815</v>
      </c>
      <c r="N491" s="355">
        <v>205084</v>
      </c>
      <c r="O491" s="355">
        <v>108148</v>
      </c>
      <c r="P491" s="355">
        <v>69412</v>
      </c>
      <c r="Q491" s="355">
        <v>113867</v>
      </c>
      <c r="R491" s="355">
        <v>176967</v>
      </c>
      <c r="S491" s="355">
        <v>140346</v>
      </c>
      <c r="T491" s="355">
        <v>139058</v>
      </c>
      <c r="U491" s="59">
        <f t="shared" si="44"/>
        <v>69412</v>
      </c>
      <c r="V491" s="59">
        <f t="shared" si="45"/>
        <v>259815</v>
      </c>
      <c r="W491" s="59">
        <f t="shared" si="46"/>
        <v>165175.3</v>
      </c>
      <c r="X491" s="60">
        <f t="shared" si="47"/>
        <v>67.71458762459888</v>
      </c>
      <c r="AC491" s="53"/>
      <c r="AL491" s="65">
        <f>_xlfn.IFERROR(INDEX('Tabela PW'!$T:$T,'Słownik PW'!C491,1),"")</f>
        <v>139058</v>
      </c>
    </row>
    <row r="492" spans="1:38" ht="15">
      <c r="A492" s="4" t="s">
        <v>496</v>
      </c>
      <c r="B492" s="5" t="s">
        <v>662</v>
      </c>
      <c r="C492" s="49" t="s">
        <v>499</v>
      </c>
      <c r="D492" s="349">
        <f t="shared" si="43"/>
        <v>54</v>
      </c>
      <c r="E492" s="350" t="s">
        <v>1197</v>
      </c>
      <c r="F492" s="51" t="s">
        <v>154</v>
      </c>
      <c r="G492" s="351" t="s">
        <v>682</v>
      </c>
      <c r="H492" s="351" t="s">
        <v>2360</v>
      </c>
      <c r="I492" s="351" t="s">
        <v>2361</v>
      </c>
      <c r="J492" s="351" t="s">
        <v>4192</v>
      </c>
      <c r="K492" s="354">
        <v>5937051</v>
      </c>
      <c r="L492" s="355">
        <v>4888621</v>
      </c>
      <c r="M492" s="354">
        <v>4196632</v>
      </c>
      <c r="N492" s="355">
        <v>4093990</v>
      </c>
      <c r="O492" s="355">
        <v>3815045</v>
      </c>
      <c r="P492" s="355">
        <v>3144780</v>
      </c>
      <c r="Q492" s="355">
        <v>2955227</v>
      </c>
      <c r="R492" s="355">
        <v>2995790</v>
      </c>
      <c r="S492" s="355">
        <v>3332030</v>
      </c>
      <c r="T492" s="355">
        <v>4160468</v>
      </c>
      <c r="U492" s="59">
        <f t="shared" si="44"/>
        <v>2955227</v>
      </c>
      <c r="V492" s="59">
        <f t="shared" si="45"/>
        <v>5937051</v>
      </c>
      <c r="W492" s="59">
        <f t="shared" si="46"/>
        <v>3951963.4</v>
      </c>
      <c r="X492" s="60">
        <f t="shared" si="47"/>
        <v>70.07633924653838</v>
      </c>
      <c r="AC492" s="53"/>
      <c r="AL492" s="65">
        <f>_xlfn.IFERROR(INDEX('Tabela PW'!$T:$T,'Słownik PW'!C492,1),"")</f>
        <v>4160468</v>
      </c>
    </row>
    <row r="493" spans="1:38" ht="15">
      <c r="A493" s="4" t="s">
        <v>496</v>
      </c>
      <c r="B493" s="5" t="s">
        <v>662</v>
      </c>
      <c r="C493" s="49" t="s">
        <v>500</v>
      </c>
      <c r="D493" s="349">
        <f t="shared" si="43"/>
        <v>66</v>
      </c>
      <c r="E493" s="350" t="s">
        <v>1198</v>
      </c>
      <c r="F493" s="51" t="s">
        <v>154</v>
      </c>
      <c r="G493" s="351" t="s">
        <v>682</v>
      </c>
      <c r="H493" s="351" t="s">
        <v>2362</v>
      </c>
      <c r="I493" s="351" t="s">
        <v>2363</v>
      </c>
      <c r="J493" s="351" t="s">
        <v>4193</v>
      </c>
      <c r="K493" s="354">
        <v>106457</v>
      </c>
      <c r="L493" s="355">
        <v>103512</v>
      </c>
      <c r="M493" s="354">
        <v>161628</v>
      </c>
      <c r="N493" s="355">
        <v>170852</v>
      </c>
      <c r="O493" s="355">
        <v>208788</v>
      </c>
      <c r="P493" s="355">
        <v>234668</v>
      </c>
      <c r="Q493" s="355">
        <v>496488</v>
      </c>
      <c r="R493" s="355">
        <v>242058</v>
      </c>
      <c r="S493" s="355">
        <v>415564</v>
      </c>
      <c r="T493" s="355">
        <v>390826</v>
      </c>
      <c r="U493" s="59">
        <f t="shared" si="44"/>
        <v>103512</v>
      </c>
      <c r="V493" s="59">
        <f t="shared" si="45"/>
        <v>496488</v>
      </c>
      <c r="W493" s="59">
        <f t="shared" si="46"/>
        <v>253084.1</v>
      </c>
      <c r="X493" s="60">
        <f t="shared" si="47"/>
        <v>367.1209972101412</v>
      </c>
      <c r="AC493" s="53"/>
      <c r="AL493" s="65">
        <f>_xlfn.IFERROR(INDEX('Tabela PW'!$T:$T,'Słownik PW'!C493,1),"")</f>
        <v>390826</v>
      </c>
    </row>
    <row r="494" spans="1:38" ht="15">
      <c r="A494" s="4" t="s">
        <v>496</v>
      </c>
      <c r="B494" s="5" t="s">
        <v>662</v>
      </c>
      <c r="C494" s="49" t="s">
        <v>501</v>
      </c>
      <c r="D494" s="349">
        <f t="shared" si="43"/>
        <v>58</v>
      </c>
      <c r="E494" s="350" t="s">
        <v>1199</v>
      </c>
      <c r="F494" s="51" t="s">
        <v>154</v>
      </c>
      <c r="G494" s="351" t="s">
        <v>682</v>
      </c>
      <c r="H494" s="351" t="s">
        <v>2364</v>
      </c>
      <c r="I494" s="351" t="s">
        <v>2365</v>
      </c>
      <c r="J494" s="351" t="s">
        <v>4194</v>
      </c>
      <c r="K494" s="354">
        <v>5142669</v>
      </c>
      <c r="L494" s="355">
        <v>5129460</v>
      </c>
      <c r="M494" s="354">
        <v>5382132</v>
      </c>
      <c r="N494" s="355">
        <v>4966265</v>
      </c>
      <c r="O494" s="355">
        <v>4446274</v>
      </c>
      <c r="P494" s="355">
        <v>3415115</v>
      </c>
      <c r="Q494" s="355">
        <v>5118680</v>
      </c>
      <c r="R494" s="355">
        <v>8832916</v>
      </c>
      <c r="S494" s="355">
        <v>7522383</v>
      </c>
      <c r="T494" s="355">
        <v>7175975</v>
      </c>
      <c r="U494" s="59">
        <f t="shared" si="44"/>
        <v>3415115</v>
      </c>
      <c r="V494" s="59">
        <f t="shared" si="45"/>
        <v>8832916</v>
      </c>
      <c r="W494" s="59">
        <f t="shared" si="46"/>
        <v>5713186.9</v>
      </c>
      <c r="X494" s="60">
        <f t="shared" si="47"/>
        <v>139.53795198563236</v>
      </c>
      <c r="AC494" s="53"/>
      <c r="AL494" s="65">
        <f>_xlfn.IFERROR(INDEX('Tabela PW'!$T:$T,'Słownik PW'!C494,1),"")</f>
        <v>7175975</v>
      </c>
    </row>
    <row r="495" spans="1:38" ht="15">
      <c r="A495" s="4" t="s">
        <v>496</v>
      </c>
      <c r="B495" s="5" t="s">
        <v>662</v>
      </c>
      <c r="C495" s="49" t="s">
        <v>502</v>
      </c>
      <c r="D495" s="349">
        <f t="shared" si="43"/>
        <v>55</v>
      </c>
      <c r="E495" s="350" t="s">
        <v>1200</v>
      </c>
      <c r="F495" s="51" t="s">
        <v>156</v>
      </c>
      <c r="G495" s="351" t="s">
        <v>705</v>
      </c>
      <c r="H495" s="351" t="s">
        <v>2366</v>
      </c>
      <c r="I495" s="351" t="s">
        <v>2367</v>
      </c>
      <c r="J495" s="351" t="s">
        <v>4195</v>
      </c>
      <c r="K495" s="354">
        <v>3036</v>
      </c>
      <c r="L495" s="355">
        <v>2966</v>
      </c>
      <c r="M495" s="354">
        <v>2609</v>
      </c>
      <c r="N495" s="355">
        <v>3216</v>
      </c>
      <c r="O495" s="355">
        <v>4401</v>
      </c>
      <c r="P495" s="355">
        <v>4074</v>
      </c>
      <c r="Q495" s="355">
        <v>4743</v>
      </c>
      <c r="R495" s="355">
        <v>4667</v>
      </c>
      <c r="S495" s="355">
        <v>5406</v>
      </c>
      <c r="T495" s="355">
        <v>5522</v>
      </c>
      <c r="U495" s="59">
        <f t="shared" si="44"/>
        <v>2609</v>
      </c>
      <c r="V495" s="59">
        <f t="shared" si="45"/>
        <v>5522</v>
      </c>
      <c r="W495" s="59">
        <f t="shared" si="46"/>
        <v>4064</v>
      </c>
      <c r="X495" s="60">
        <f t="shared" si="47"/>
        <v>181.8840579710145</v>
      </c>
      <c r="AC495" s="53"/>
      <c r="AL495" s="65">
        <f>_xlfn.IFERROR(INDEX('Tabela PW'!$T:$T,'Słownik PW'!C495,1),"")</f>
        <v>5522</v>
      </c>
    </row>
    <row r="496" spans="1:38" ht="15">
      <c r="A496" s="4" t="s">
        <v>496</v>
      </c>
      <c r="B496" s="5" t="s">
        <v>662</v>
      </c>
      <c r="C496" s="49" t="s">
        <v>503</v>
      </c>
      <c r="D496" s="349">
        <f t="shared" si="43"/>
        <v>38</v>
      </c>
      <c r="E496" s="350" t="s">
        <v>1201</v>
      </c>
      <c r="F496" s="51" t="s">
        <v>154</v>
      </c>
      <c r="G496" s="351" t="s">
        <v>682</v>
      </c>
      <c r="H496" s="351" t="s">
        <v>2368</v>
      </c>
      <c r="I496" s="351" t="s">
        <v>2369</v>
      </c>
      <c r="J496" s="351" t="s">
        <v>4196</v>
      </c>
      <c r="K496" s="354">
        <v>5525</v>
      </c>
      <c r="L496" s="355">
        <v>4512</v>
      </c>
      <c r="M496" s="354">
        <v>1002110</v>
      </c>
      <c r="N496" s="355">
        <v>912851</v>
      </c>
      <c r="O496" s="355">
        <v>1597360</v>
      </c>
      <c r="P496" s="355">
        <v>2743899</v>
      </c>
      <c r="Q496" s="355">
        <v>2338334</v>
      </c>
      <c r="R496" s="355">
        <v>2285092</v>
      </c>
      <c r="S496" s="355">
        <v>2243317</v>
      </c>
      <c r="T496" s="355">
        <v>2528021</v>
      </c>
      <c r="U496" s="59">
        <f t="shared" si="44"/>
        <v>4512</v>
      </c>
      <c r="V496" s="59">
        <f t="shared" si="45"/>
        <v>2743899</v>
      </c>
      <c r="W496" s="59">
        <f t="shared" si="46"/>
        <v>1566102.1</v>
      </c>
      <c r="X496" s="60">
        <f t="shared" si="47"/>
        <v>45756.036199095026</v>
      </c>
      <c r="AC496" s="53"/>
      <c r="AL496" s="65">
        <f>_xlfn.IFERROR(INDEX('Tabela PW'!$T:$T,'Słownik PW'!C496,1),"")</f>
        <v>2528021</v>
      </c>
    </row>
    <row r="497" spans="1:38" ht="15">
      <c r="A497" s="4" t="s">
        <v>496</v>
      </c>
      <c r="B497" s="5" t="s">
        <v>662</v>
      </c>
      <c r="C497" s="49" t="s">
        <v>504</v>
      </c>
      <c r="D497" s="349">
        <f t="shared" si="43"/>
        <v>84</v>
      </c>
      <c r="E497" s="350" t="s">
        <v>1202</v>
      </c>
      <c r="F497" s="51" t="s">
        <v>154</v>
      </c>
      <c r="G497" s="351" t="s">
        <v>682</v>
      </c>
      <c r="H497" s="351" t="s">
        <v>2370</v>
      </c>
      <c r="I497" s="351" t="s">
        <v>2371</v>
      </c>
      <c r="J497" s="351" t="s">
        <v>4197</v>
      </c>
      <c r="K497" s="354">
        <v>26349219</v>
      </c>
      <c r="L497" s="355">
        <v>20674159</v>
      </c>
      <c r="M497" s="354">
        <v>20525664</v>
      </c>
      <c r="N497" s="355">
        <v>18692518</v>
      </c>
      <c r="O497" s="355">
        <v>19635394</v>
      </c>
      <c r="P497" s="355">
        <v>20124389</v>
      </c>
      <c r="Q497" s="355">
        <v>20065752</v>
      </c>
      <c r="R497" s="355">
        <v>21304206</v>
      </c>
      <c r="S497" s="355">
        <v>20960052</v>
      </c>
      <c r="T497" s="355">
        <v>22123622</v>
      </c>
      <c r="U497" s="59">
        <f t="shared" si="44"/>
        <v>18692518</v>
      </c>
      <c r="V497" s="59">
        <f t="shared" si="45"/>
        <v>26349219</v>
      </c>
      <c r="W497" s="59">
        <f t="shared" si="46"/>
        <v>21045497.5</v>
      </c>
      <c r="X497" s="60">
        <f t="shared" si="47"/>
        <v>83.96310342253408</v>
      </c>
      <c r="AC497" s="53"/>
      <c r="AL497" s="65">
        <f>_xlfn.IFERROR(INDEX('Tabela PW'!$T:$T,'Słownik PW'!C497,1),"")</f>
        <v>22123622</v>
      </c>
    </row>
    <row r="498" spans="1:38" ht="15">
      <c r="A498" s="4" t="s">
        <v>496</v>
      </c>
      <c r="B498" s="5" t="s">
        <v>662</v>
      </c>
      <c r="C498" s="49" t="s">
        <v>505</v>
      </c>
      <c r="D498" s="349">
        <f t="shared" si="43"/>
        <v>65</v>
      </c>
      <c r="E498" s="350" t="s">
        <v>1203</v>
      </c>
      <c r="F498" s="51" t="s">
        <v>154</v>
      </c>
      <c r="G498" s="351" t="s">
        <v>682</v>
      </c>
      <c r="H498" s="351" t="s">
        <v>2372</v>
      </c>
      <c r="I498" s="351" t="s">
        <v>2373</v>
      </c>
      <c r="J498" s="351" t="s">
        <v>4198</v>
      </c>
      <c r="K498" s="354">
        <v>20983980</v>
      </c>
      <c r="L498" s="355">
        <v>15737117</v>
      </c>
      <c r="M498" s="354">
        <v>14210287</v>
      </c>
      <c r="N498" s="355">
        <v>12173433</v>
      </c>
      <c r="O498" s="355">
        <v>13709168</v>
      </c>
      <c r="P498" s="355">
        <v>13525213</v>
      </c>
      <c r="Q498" s="355">
        <v>13762869</v>
      </c>
      <c r="R498" s="355">
        <v>13861918</v>
      </c>
      <c r="S498" s="355">
        <v>14487721</v>
      </c>
      <c r="T498" s="355">
        <v>15924025</v>
      </c>
      <c r="U498" s="59">
        <f t="shared" si="44"/>
        <v>12173433</v>
      </c>
      <c r="V498" s="59">
        <f t="shared" si="45"/>
        <v>20983980</v>
      </c>
      <c r="W498" s="59">
        <f t="shared" si="46"/>
        <v>14837573.1</v>
      </c>
      <c r="X498" s="60">
        <f t="shared" si="47"/>
        <v>75.88658109662705</v>
      </c>
      <c r="AC498" s="53"/>
      <c r="AL498" s="65">
        <f>_xlfn.IFERROR(INDEX('Tabela PW'!$T:$T,'Słownik PW'!C498,1),"")</f>
        <v>15924025</v>
      </c>
    </row>
    <row r="499" spans="1:38" ht="15">
      <c r="A499" s="4" t="s">
        <v>496</v>
      </c>
      <c r="B499" s="5" t="s">
        <v>662</v>
      </c>
      <c r="C499" s="49" t="s">
        <v>506</v>
      </c>
      <c r="D499" s="349">
        <f t="shared" si="43"/>
        <v>40</v>
      </c>
      <c r="E499" s="350" t="s">
        <v>1204</v>
      </c>
      <c r="F499" s="51" t="s">
        <v>154</v>
      </c>
      <c r="G499" s="351" t="s">
        <v>682</v>
      </c>
      <c r="H499" s="351" t="s">
        <v>2374</v>
      </c>
      <c r="I499" s="351" t="s">
        <v>2375</v>
      </c>
      <c r="J499" s="351" t="s">
        <v>4199</v>
      </c>
      <c r="K499" s="354">
        <v>10962905</v>
      </c>
      <c r="L499" s="355">
        <v>10366634</v>
      </c>
      <c r="M499" s="354">
        <v>10783262</v>
      </c>
      <c r="N499" s="355">
        <v>12450961</v>
      </c>
      <c r="O499" s="355">
        <v>13503133</v>
      </c>
      <c r="P499" s="355">
        <v>15688178</v>
      </c>
      <c r="Q499" s="355">
        <v>17558338</v>
      </c>
      <c r="R499" s="355">
        <v>18658246</v>
      </c>
      <c r="S499" s="355">
        <v>17224365</v>
      </c>
      <c r="T499" s="355">
        <v>19373325</v>
      </c>
      <c r="U499" s="59">
        <f t="shared" si="44"/>
        <v>10366634</v>
      </c>
      <c r="V499" s="59">
        <f t="shared" si="45"/>
        <v>19373325</v>
      </c>
      <c r="W499" s="59">
        <f t="shared" si="46"/>
        <v>14656934.7</v>
      </c>
      <c r="X499" s="60">
        <f t="shared" si="47"/>
        <v>176.71707453453257</v>
      </c>
      <c r="AC499" s="53"/>
      <c r="AL499" s="65">
        <f>_xlfn.IFERROR(INDEX('Tabela PW'!$T:$T,'Słownik PW'!C499,1),"")</f>
        <v>19373325</v>
      </c>
    </row>
    <row r="500" spans="1:38" ht="15">
      <c r="A500" s="4" t="s">
        <v>496</v>
      </c>
      <c r="B500" s="5" t="s">
        <v>662</v>
      </c>
      <c r="C500" s="49" t="s">
        <v>507</v>
      </c>
      <c r="D500" s="349">
        <f t="shared" si="43"/>
        <v>10</v>
      </c>
      <c r="E500" s="350" t="s">
        <v>1205</v>
      </c>
      <c r="F500" s="51" t="s">
        <v>154</v>
      </c>
      <c r="G500" s="351" t="s">
        <v>682</v>
      </c>
      <c r="H500" s="351" t="s">
        <v>2376</v>
      </c>
      <c r="I500" s="351" t="s">
        <v>2377</v>
      </c>
      <c r="J500" s="351" t="s">
        <v>4200</v>
      </c>
      <c r="K500" s="354">
        <v>698723</v>
      </c>
      <c r="L500" s="355">
        <v>1871441</v>
      </c>
      <c r="M500" s="354">
        <v>1652243</v>
      </c>
      <c r="N500" s="355">
        <v>2611419</v>
      </c>
      <c r="O500" s="355">
        <v>2754960</v>
      </c>
      <c r="P500" s="355">
        <v>3157918</v>
      </c>
      <c r="Q500" s="355">
        <v>4063150</v>
      </c>
      <c r="R500" s="355">
        <v>4229447</v>
      </c>
      <c r="S500" s="355">
        <v>3510478</v>
      </c>
      <c r="T500" s="355">
        <v>2302205</v>
      </c>
      <c r="U500" s="59">
        <f t="shared" si="44"/>
        <v>698723</v>
      </c>
      <c r="V500" s="59">
        <f t="shared" si="45"/>
        <v>4229447</v>
      </c>
      <c r="W500" s="59">
        <f t="shared" si="46"/>
        <v>2685198.4</v>
      </c>
      <c r="X500" s="60">
        <f t="shared" si="47"/>
        <v>329.48750792517205</v>
      </c>
      <c r="AC500" s="53"/>
      <c r="AL500" s="65">
        <f>_xlfn.IFERROR(INDEX('Tabela PW'!$T:$T,'Słownik PW'!C500,1),"")</f>
        <v>2302205</v>
      </c>
    </row>
    <row r="501" spans="1:38" ht="15">
      <c r="A501" s="4" t="s">
        <v>496</v>
      </c>
      <c r="B501" s="5" t="s">
        <v>662</v>
      </c>
      <c r="C501" s="49" t="s">
        <v>508</v>
      </c>
      <c r="D501" s="349">
        <f t="shared" si="43"/>
        <v>10</v>
      </c>
      <c r="E501" s="350" t="s">
        <v>1206</v>
      </c>
      <c r="F501" s="51" t="s">
        <v>154</v>
      </c>
      <c r="G501" s="351" t="s">
        <v>682</v>
      </c>
      <c r="H501" s="351" t="s">
        <v>2378</v>
      </c>
      <c r="I501" s="351" t="s">
        <v>2379</v>
      </c>
      <c r="J501" s="351" t="s">
        <v>4201</v>
      </c>
      <c r="K501" s="354">
        <v>3002539</v>
      </c>
      <c r="L501" s="355">
        <v>3627876</v>
      </c>
      <c r="M501" s="354">
        <v>3520090</v>
      </c>
      <c r="N501" s="355">
        <v>4296076</v>
      </c>
      <c r="O501" s="355">
        <v>4356325</v>
      </c>
      <c r="P501" s="355">
        <v>4403544</v>
      </c>
      <c r="Q501" s="355">
        <v>4494536</v>
      </c>
      <c r="R501" s="355">
        <v>5041590</v>
      </c>
      <c r="S501" s="355">
        <v>5309348</v>
      </c>
      <c r="T501" s="355">
        <v>4954530</v>
      </c>
      <c r="U501" s="59">
        <f t="shared" si="44"/>
        <v>3002539</v>
      </c>
      <c r="V501" s="59">
        <f t="shared" si="45"/>
        <v>5309348</v>
      </c>
      <c r="W501" s="59">
        <f t="shared" si="46"/>
        <v>4300645.4</v>
      </c>
      <c r="X501" s="60">
        <f t="shared" si="47"/>
        <v>165.01134539801149</v>
      </c>
      <c r="AC501" s="53"/>
      <c r="AL501" s="65">
        <f>_xlfn.IFERROR(INDEX('Tabela PW'!$T:$T,'Słownik PW'!C501,1),"")</f>
        <v>4954530</v>
      </c>
    </row>
    <row r="502" spans="1:38" ht="15">
      <c r="A502" s="4" t="s">
        <v>496</v>
      </c>
      <c r="B502" s="5" t="s">
        <v>662</v>
      </c>
      <c r="C502" s="49" t="s">
        <v>509</v>
      </c>
      <c r="D502" s="349">
        <f t="shared" si="43"/>
        <v>29</v>
      </c>
      <c r="E502" s="350" t="s">
        <v>1207</v>
      </c>
      <c r="F502" s="51" t="s">
        <v>154</v>
      </c>
      <c r="G502" s="351" t="s">
        <v>682</v>
      </c>
      <c r="H502" s="351" t="s">
        <v>2380</v>
      </c>
      <c r="I502" s="351" t="s">
        <v>2381</v>
      </c>
      <c r="J502" s="351" t="s">
        <v>4202</v>
      </c>
      <c r="K502" s="354">
        <v>1205082</v>
      </c>
      <c r="L502" s="355">
        <v>3570824</v>
      </c>
      <c r="M502" s="354">
        <v>4895402</v>
      </c>
      <c r="N502" s="355">
        <v>4487664</v>
      </c>
      <c r="O502" s="355">
        <v>4361297</v>
      </c>
      <c r="P502" s="355">
        <v>6003211</v>
      </c>
      <c r="Q502" s="355">
        <v>9950479</v>
      </c>
      <c r="R502" s="355">
        <v>10469765</v>
      </c>
      <c r="S502" s="355">
        <v>12183377</v>
      </c>
      <c r="T502" s="355">
        <v>11913671</v>
      </c>
      <c r="U502" s="59">
        <f t="shared" si="44"/>
        <v>1205082</v>
      </c>
      <c r="V502" s="59">
        <f t="shared" si="45"/>
        <v>12183377</v>
      </c>
      <c r="W502" s="59">
        <f t="shared" si="46"/>
        <v>6904077.2</v>
      </c>
      <c r="X502" s="60">
        <f t="shared" si="47"/>
        <v>988.6191147158451</v>
      </c>
      <c r="AC502" s="53"/>
      <c r="AL502" s="65">
        <f>_xlfn.IFERROR(INDEX('Tabela PW'!$T:$T,'Słownik PW'!C502,1),"")</f>
        <v>11913671</v>
      </c>
    </row>
    <row r="503" spans="1:38" ht="15">
      <c r="A503" s="4" t="s">
        <v>496</v>
      </c>
      <c r="B503" s="5" t="s">
        <v>662</v>
      </c>
      <c r="C503" s="49" t="s">
        <v>510</v>
      </c>
      <c r="D503" s="349">
        <f t="shared" si="43"/>
        <v>33</v>
      </c>
      <c r="E503" s="350" t="s">
        <v>1208</v>
      </c>
      <c r="F503" s="51" t="s">
        <v>154</v>
      </c>
      <c r="G503" s="351" t="s">
        <v>682</v>
      </c>
      <c r="H503" s="351" t="s">
        <v>2382</v>
      </c>
      <c r="I503" s="351" t="s">
        <v>2383</v>
      </c>
      <c r="J503" s="351" t="s">
        <v>4203</v>
      </c>
      <c r="K503" s="354">
        <v>13958</v>
      </c>
      <c r="L503" s="355">
        <v>14485</v>
      </c>
      <c r="M503" s="354">
        <v>11597</v>
      </c>
      <c r="N503" s="355">
        <v>10966</v>
      </c>
      <c r="O503" s="355">
        <v>11863</v>
      </c>
      <c r="P503" s="355">
        <v>10876</v>
      </c>
      <c r="Q503" s="355">
        <v>12771</v>
      </c>
      <c r="R503" s="355">
        <v>10568</v>
      </c>
      <c r="S503" s="355">
        <v>26752</v>
      </c>
      <c r="T503" s="355">
        <v>22758</v>
      </c>
      <c r="U503" s="59">
        <f t="shared" si="44"/>
        <v>10568</v>
      </c>
      <c r="V503" s="59">
        <f t="shared" si="45"/>
        <v>26752</v>
      </c>
      <c r="W503" s="59">
        <f t="shared" si="46"/>
        <v>14659.4</v>
      </c>
      <c r="X503" s="60">
        <f t="shared" si="47"/>
        <v>163.0462817022496</v>
      </c>
      <c r="AC503" s="53"/>
      <c r="AL503" s="65">
        <f>_xlfn.IFERROR(INDEX('Tabela PW'!$T:$T,'Słownik PW'!C503,1),"")</f>
        <v>22758</v>
      </c>
    </row>
    <row r="504" spans="1:38" ht="15">
      <c r="A504" s="4" t="s">
        <v>496</v>
      </c>
      <c r="B504" s="5" t="s">
        <v>662</v>
      </c>
      <c r="C504" s="49" t="s">
        <v>4376</v>
      </c>
      <c r="D504" s="349">
        <f t="shared" si="43"/>
        <v>33</v>
      </c>
      <c r="E504" s="350" t="s">
        <v>1209</v>
      </c>
      <c r="F504" s="51" t="s">
        <v>154</v>
      </c>
      <c r="G504" s="351" t="s">
        <v>682</v>
      </c>
      <c r="H504" s="351" t="s">
        <v>2384</v>
      </c>
      <c r="I504" s="351" t="s">
        <v>2385</v>
      </c>
      <c r="J504" s="351" t="s">
        <v>4204</v>
      </c>
      <c r="K504" s="354">
        <v>10093</v>
      </c>
      <c r="L504" s="355">
        <v>10486</v>
      </c>
      <c r="M504" s="354">
        <v>9420</v>
      </c>
      <c r="N504" s="355">
        <v>6844</v>
      </c>
      <c r="O504" s="355">
        <v>5735</v>
      </c>
      <c r="P504" s="355">
        <v>5053</v>
      </c>
      <c r="Q504" s="355">
        <v>3733</v>
      </c>
      <c r="R504" s="355">
        <v>3286</v>
      </c>
      <c r="S504" s="355">
        <v>5351</v>
      </c>
      <c r="T504" s="355">
        <v>5607</v>
      </c>
      <c r="U504" s="59">
        <f t="shared" si="44"/>
        <v>3286</v>
      </c>
      <c r="V504" s="59">
        <f t="shared" si="45"/>
        <v>10486</v>
      </c>
      <c r="W504" s="59">
        <f t="shared" si="46"/>
        <v>6560.8</v>
      </c>
      <c r="X504" s="60">
        <f t="shared" si="47"/>
        <v>55.55335380957099</v>
      </c>
      <c r="AC504" s="53"/>
      <c r="AL504" s="65">
        <f>_xlfn.IFERROR(INDEX('Tabela PW'!$T:$T,'Słownik PW'!C504,1),"")</f>
        <v>5607</v>
      </c>
    </row>
    <row r="505" spans="1:38" ht="15">
      <c r="A505" s="4" t="s">
        <v>511</v>
      </c>
      <c r="B505" s="5" t="s">
        <v>666</v>
      </c>
      <c r="C505" s="49" t="s">
        <v>512</v>
      </c>
      <c r="D505" s="349">
        <f t="shared" si="43"/>
        <v>67</v>
      </c>
      <c r="E505" s="350" t="s">
        <v>1210</v>
      </c>
      <c r="F505" s="51" t="s">
        <v>513</v>
      </c>
      <c r="G505" s="351" t="s">
        <v>681</v>
      </c>
      <c r="H505" s="351" t="s">
        <v>2386</v>
      </c>
      <c r="I505" s="351" t="s">
        <v>2387</v>
      </c>
      <c r="J505" s="351" t="s">
        <v>4205</v>
      </c>
      <c r="K505" s="354">
        <v>18651</v>
      </c>
      <c r="L505" s="355">
        <v>14002</v>
      </c>
      <c r="M505" s="354">
        <v>9020</v>
      </c>
      <c r="N505" s="355">
        <v>12513</v>
      </c>
      <c r="O505" s="355">
        <v>14092</v>
      </c>
      <c r="P505" s="355">
        <v>19010</v>
      </c>
      <c r="Q505" s="355">
        <v>16631</v>
      </c>
      <c r="R505" s="355">
        <v>17751</v>
      </c>
      <c r="S505" s="355">
        <v>14867</v>
      </c>
      <c r="T505" s="355">
        <v>18914</v>
      </c>
      <c r="U505" s="59">
        <f t="shared" si="44"/>
        <v>9020</v>
      </c>
      <c r="V505" s="59">
        <f t="shared" si="45"/>
        <v>19010</v>
      </c>
      <c r="W505" s="59">
        <f t="shared" si="46"/>
        <v>15545.1</v>
      </c>
      <c r="X505" s="60">
        <f t="shared" si="47"/>
        <v>101.41011205833468</v>
      </c>
      <c r="AC505" s="53"/>
      <c r="AL505" s="65">
        <f>_xlfn.IFERROR(INDEX('Tabela PW'!$T:$T,'Słownik PW'!C505,1),"")</f>
        <v>18914</v>
      </c>
    </row>
    <row r="506" spans="1:38" ht="15">
      <c r="A506" s="4" t="s">
        <v>511</v>
      </c>
      <c r="B506" s="5" t="s">
        <v>666</v>
      </c>
      <c r="C506" s="49" t="s">
        <v>512</v>
      </c>
      <c r="D506" s="349">
        <f t="shared" si="43"/>
        <v>67</v>
      </c>
      <c r="E506" s="350" t="s">
        <v>1211</v>
      </c>
      <c r="F506" s="51" t="s">
        <v>154</v>
      </c>
      <c r="G506" s="351" t="s">
        <v>682</v>
      </c>
      <c r="H506" s="351" t="s">
        <v>2388</v>
      </c>
      <c r="I506" s="351" t="s">
        <v>2389</v>
      </c>
      <c r="J506" s="351" t="s">
        <v>4206</v>
      </c>
      <c r="K506" s="354">
        <v>21693848</v>
      </c>
      <c r="L506" s="355">
        <v>23191753</v>
      </c>
      <c r="M506" s="354">
        <v>23921512</v>
      </c>
      <c r="N506" s="355">
        <v>25653208</v>
      </c>
      <c r="O506" s="355">
        <v>31561461</v>
      </c>
      <c r="P506" s="355">
        <v>37801941</v>
      </c>
      <c r="Q506" s="355">
        <v>36352531</v>
      </c>
      <c r="R506" s="355">
        <v>42741251</v>
      </c>
      <c r="S506" s="355">
        <v>41565766</v>
      </c>
      <c r="T506" s="355">
        <v>43384604</v>
      </c>
      <c r="U506" s="59">
        <f t="shared" si="44"/>
        <v>21693848</v>
      </c>
      <c r="V506" s="59">
        <f t="shared" si="45"/>
        <v>43384604</v>
      </c>
      <c r="W506" s="59">
        <f t="shared" si="46"/>
        <v>32786787.5</v>
      </c>
      <c r="X506" s="60">
        <f t="shared" si="47"/>
        <v>199.98574711134697</v>
      </c>
      <c r="AC506" s="53"/>
      <c r="AL506" s="65">
        <f>_xlfn.IFERROR(INDEX('Tabela PW'!$T:$T,'Słownik PW'!C506,1),"")</f>
        <v>43384604</v>
      </c>
    </row>
    <row r="507" spans="1:38" ht="15">
      <c r="A507" s="4" t="s">
        <v>511</v>
      </c>
      <c r="B507" s="5" t="s">
        <v>666</v>
      </c>
      <c r="C507" s="49" t="s">
        <v>4383</v>
      </c>
      <c r="D507" s="349">
        <f t="shared" si="43"/>
        <v>32</v>
      </c>
      <c r="E507" s="350" t="s">
        <v>1212</v>
      </c>
      <c r="F507" s="51" t="s">
        <v>513</v>
      </c>
      <c r="G507" s="351" t="s">
        <v>681</v>
      </c>
      <c r="H507" s="351" t="s">
        <v>2390</v>
      </c>
      <c r="I507" s="351" t="s">
        <v>2391</v>
      </c>
      <c r="J507" s="351" t="s">
        <v>4207</v>
      </c>
      <c r="K507" s="354">
        <v>444</v>
      </c>
      <c r="L507" s="355">
        <v>475</v>
      </c>
      <c r="M507" s="354">
        <v>652</v>
      </c>
      <c r="N507" s="355">
        <v>453</v>
      </c>
      <c r="O507" s="355">
        <v>579</v>
      </c>
      <c r="P507" s="355">
        <v>619</v>
      </c>
      <c r="Q507" s="355">
        <v>635</v>
      </c>
      <c r="R507" s="355">
        <v>681</v>
      </c>
      <c r="S507" s="355">
        <v>806</v>
      </c>
      <c r="T507" s="355">
        <v>1691</v>
      </c>
      <c r="U507" s="59">
        <f t="shared" si="44"/>
        <v>444</v>
      </c>
      <c r="V507" s="59">
        <f t="shared" si="45"/>
        <v>1691</v>
      </c>
      <c r="W507" s="59">
        <f t="shared" si="46"/>
        <v>703.5</v>
      </c>
      <c r="X507" s="60">
        <f t="shared" si="47"/>
        <v>380.85585585585585</v>
      </c>
      <c r="AC507" s="53"/>
      <c r="AL507" s="65">
        <f>_xlfn.IFERROR(INDEX('Tabela PW'!$T:$T,'Słownik PW'!C507,1),"")</f>
        <v>1691</v>
      </c>
    </row>
    <row r="508" spans="1:38" ht="15">
      <c r="A508" s="4" t="s">
        <v>511</v>
      </c>
      <c r="B508" s="5" t="s">
        <v>666</v>
      </c>
      <c r="C508" s="49" t="s">
        <v>4383</v>
      </c>
      <c r="D508" s="349">
        <f t="shared" si="43"/>
        <v>32</v>
      </c>
      <c r="E508" s="350" t="s">
        <v>1213</v>
      </c>
      <c r="F508" s="51" t="s">
        <v>154</v>
      </c>
      <c r="G508" s="351" t="s">
        <v>682</v>
      </c>
      <c r="H508" s="351" t="s">
        <v>2392</v>
      </c>
      <c r="I508" s="351" t="s">
        <v>2393</v>
      </c>
      <c r="J508" s="351" t="s">
        <v>4208</v>
      </c>
      <c r="K508" s="354">
        <v>12118166</v>
      </c>
      <c r="L508" s="355">
        <v>13140982</v>
      </c>
      <c r="M508" s="354">
        <v>13580348</v>
      </c>
      <c r="N508" s="355">
        <v>15029625</v>
      </c>
      <c r="O508" s="355">
        <v>21117184</v>
      </c>
      <c r="P508" s="355">
        <v>27075176</v>
      </c>
      <c r="Q508" s="355">
        <v>25234593</v>
      </c>
      <c r="R508" s="355">
        <v>31171720</v>
      </c>
      <c r="S508" s="355">
        <v>35547396</v>
      </c>
      <c r="T508" s="355">
        <v>37214778</v>
      </c>
      <c r="U508" s="59">
        <f t="shared" si="44"/>
        <v>12118166</v>
      </c>
      <c r="V508" s="59">
        <f t="shared" si="45"/>
        <v>37214778</v>
      </c>
      <c r="W508" s="59">
        <f t="shared" si="46"/>
        <v>23122996.8</v>
      </c>
      <c r="X508" s="60">
        <f t="shared" si="47"/>
        <v>307.0990940378272</v>
      </c>
      <c r="AC508" s="53"/>
      <c r="AL508" s="65">
        <f>_xlfn.IFERROR(INDEX('Tabela PW'!$T:$T,'Słownik PW'!C508,1),"")</f>
        <v>37214778</v>
      </c>
    </row>
    <row r="509" spans="1:38" ht="15">
      <c r="A509" s="4" t="s">
        <v>511</v>
      </c>
      <c r="B509" s="5" t="s">
        <v>666</v>
      </c>
      <c r="C509" s="49" t="s">
        <v>514</v>
      </c>
      <c r="D509" s="349">
        <f t="shared" si="43"/>
        <v>63</v>
      </c>
      <c r="E509" s="350" t="s">
        <v>1214</v>
      </c>
      <c r="F509" s="51" t="s">
        <v>513</v>
      </c>
      <c r="G509" s="351" t="s">
        <v>681</v>
      </c>
      <c r="H509" s="351" t="s">
        <v>2394</v>
      </c>
      <c r="I509" s="351" t="s">
        <v>2395</v>
      </c>
      <c r="J509" s="351" t="s">
        <v>4209</v>
      </c>
      <c r="K509" s="354">
        <v>5852</v>
      </c>
      <c r="L509" s="355">
        <v>6269</v>
      </c>
      <c r="M509" s="354">
        <v>6525</v>
      </c>
      <c r="N509" s="355">
        <v>6412</v>
      </c>
      <c r="O509" s="355">
        <v>6534</v>
      </c>
      <c r="P509" s="355">
        <v>6776</v>
      </c>
      <c r="Q509" s="355">
        <v>7823</v>
      </c>
      <c r="R509" s="355">
        <v>8303</v>
      </c>
      <c r="S509" s="355">
        <v>8025</v>
      </c>
      <c r="T509" s="355">
        <v>7719</v>
      </c>
      <c r="U509" s="59">
        <f t="shared" si="44"/>
        <v>5852</v>
      </c>
      <c r="V509" s="59">
        <f t="shared" si="45"/>
        <v>8303</v>
      </c>
      <c r="W509" s="59">
        <f t="shared" si="46"/>
        <v>7023.8</v>
      </c>
      <c r="X509" s="60">
        <f t="shared" si="47"/>
        <v>131.90362269309637</v>
      </c>
      <c r="AC509" s="53"/>
      <c r="AL509" s="65">
        <f>_xlfn.IFERROR(INDEX('Tabela PW'!$T:$T,'Słownik PW'!C509,1),"")</f>
        <v>7719</v>
      </c>
    </row>
    <row r="510" spans="1:38" ht="15">
      <c r="A510" s="4" t="s">
        <v>511</v>
      </c>
      <c r="B510" s="5" t="s">
        <v>666</v>
      </c>
      <c r="C510" s="49" t="s">
        <v>514</v>
      </c>
      <c r="D510" s="349">
        <f t="shared" si="43"/>
        <v>63</v>
      </c>
      <c r="E510" s="350" t="s">
        <v>1215</v>
      </c>
      <c r="F510" s="51" t="s">
        <v>154</v>
      </c>
      <c r="G510" s="351" t="s">
        <v>682</v>
      </c>
      <c r="H510" s="351" t="s">
        <v>2396</v>
      </c>
      <c r="I510" s="351" t="s">
        <v>2397</v>
      </c>
      <c r="J510" s="351" t="s">
        <v>4210</v>
      </c>
      <c r="K510" s="354">
        <v>9556411</v>
      </c>
      <c r="L510" s="355">
        <v>10020903</v>
      </c>
      <c r="M510" s="354">
        <v>10300995</v>
      </c>
      <c r="N510" s="355">
        <v>10570280</v>
      </c>
      <c r="O510" s="355">
        <v>10373957</v>
      </c>
      <c r="P510" s="355">
        <v>10648807</v>
      </c>
      <c r="Q510" s="355">
        <v>11048391</v>
      </c>
      <c r="R510" s="355">
        <v>11482117</v>
      </c>
      <c r="S510" s="355">
        <v>5927020</v>
      </c>
      <c r="T510" s="355">
        <v>6085248</v>
      </c>
      <c r="U510" s="59">
        <f t="shared" si="44"/>
        <v>5927020</v>
      </c>
      <c r="V510" s="59">
        <f t="shared" si="45"/>
        <v>11482117</v>
      </c>
      <c r="W510" s="59">
        <f t="shared" si="46"/>
        <v>9601412.9</v>
      </c>
      <c r="X510" s="60">
        <f t="shared" si="47"/>
        <v>63.67712732321789</v>
      </c>
      <c r="AC510" s="53"/>
      <c r="AL510" s="65">
        <f>_xlfn.IFERROR(INDEX('Tabela PW'!$T:$T,'Słownik PW'!C510,1),"")</f>
        <v>6085248</v>
      </c>
    </row>
    <row r="511" spans="1:38" ht="15">
      <c r="A511" s="4" t="s">
        <v>511</v>
      </c>
      <c r="B511" s="5" t="s">
        <v>666</v>
      </c>
      <c r="C511" s="49" t="s">
        <v>515</v>
      </c>
      <c r="D511" s="349">
        <f t="shared" si="43"/>
        <v>19</v>
      </c>
      <c r="E511" s="350" t="s">
        <v>1216</v>
      </c>
      <c r="F511" s="51" t="s">
        <v>516</v>
      </c>
      <c r="G511" s="351" t="s">
        <v>677</v>
      </c>
      <c r="H511" s="351" t="s">
        <v>2398</v>
      </c>
      <c r="I511" s="351" t="s">
        <v>2399</v>
      </c>
      <c r="J511" s="351" t="s">
        <v>4211</v>
      </c>
      <c r="K511" s="354">
        <v>1794621</v>
      </c>
      <c r="L511" s="355">
        <v>1615819</v>
      </c>
      <c r="M511" s="354">
        <v>1927577</v>
      </c>
      <c r="N511" s="355">
        <v>2025485</v>
      </c>
      <c r="O511" s="355">
        <v>1775614</v>
      </c>
      <c r="P511" s="355">
        <v>1630368</v>
      </c>
      <c r="Q511" s="355">
        <v>1730764</v>
      </c>
      <c r="R511" s="355">
        <v>1858397</v>
      </c>
      <c r="S511" s="355">
        <v>951971</v>
      </c>
      <c r="T511" s="355">
        <v>986426</v>
      </c>
      <c r="U511" s="59">
        <f t="shared" si="44"/>
        <v>951971</v>
      </c>
      <c r="V511" s="59">
        <f t="shared" si="45"/>
        <v>2025485</v>
      </c>
      <c r="W511" s="59">
        <f t="shared" si="46"/>
        <v>1629704.2</v>
      </c>
      <c r="X511" s="60">
        <f t="shared" si="47"/>
        <v>54.96570027877753</v>
      </c>
      <c r="AC511" s="53"/>
      <c r="AL511" s="65">
        <f>_xlfn.IFERROR(INDEX('Tabela PW'!$T:$T,'Słownik PW'!C511,1),"")</f>
        <v>986426</v>
      </c>
    </row>
    <row r="512" spans="1:38" ht="15">
      <c r="A512" s="4" t="s">
        <v>511</v>
      </c>
      <c r="B512" s="5" t="s">
        <v>666</v>
      </c>
      <c r="C512" s="49" t="s">
        <v>515</v>
      </c>
      <c r="D512" s="349">
        <f t="shared" si="43"/>
        <v>19</v>
      </c>
      <c r="E512" s="350" t="s">
        <v>1217</v>
      </c>
      <c r="F512" s="51" t="s">
        <v>154</v>
      </c>
      <c r="G512" s="351" t="s">
        <v>682</v>
      </c>
      <c r="H512" s="351" t="s">
        <v>2400</v>
      </c>
      <c r="I512" s="351" t="s">
        <v>2401</v>
      </c>
      <c r="J512" s="351" t="s">
        <v>4212</v>
      </c>
      <c r="K512" s="354">
        <v>8763132</v>
      </c>
      <c r="L512" s="355">
        <v>9135909</v>
      </c>
      <c r="M512" s="354">
        <v>9531236</v>
      </c>
      <c r="N512" s="355">
        <v>9771825</v>
      </c>
      <c r="O512" s="355">
        <v>9444263</v>
      </c>
      <c r="P512" s="355">
        <v>9712091</v>
      </c>
      <c r="Q512" s="355">
        <v>10040177</v>
      </c>
      <c r="R512" s="355">
        <v>10414972</v>
      </c>
      <c r="S512" s="355">
        <v>4764933</v>
      </c>
      <c r="T512" s="355">
        <v>4717669</v>
      </c>
      <c r="U512" s="59">
        <f t="shared" si="44"/>
        <v>4717669</v>
      </c>
      <c r="V512" s="59">
        <f t="shared" si="45"/>
        <v>10414972</v>
      </c>
      <c r="W512" s="59">
        <f t="shared" si="46"/>
        <v>8629620.7</v>
      </c>
      <c r="X512" s="60">
        <f t="shared" si="47"/>
        <v>53.835420943105724</v>
      </c>
      <c r="AC512" s="53"/>
      <c r="AL512" s="65">
        <f>_xlfn.IFERROR(INDEX('Tabela PW'!$T:$T,'Słownik PW'!C512,1),"")</f>
        <v>4717669</v>
      </c>
    </row>
    <row r="513" spans="1:38" ht="15">
      <c r="A513" s="4" t="s">
        <v>511</v>
      </c>
      <c r="B513" s="5" t="s">
        <v>666</v>
      </c>
      <c r="C513" s="49" t="s">
        <v>517</v>
      </c>
      <c r="D513" s="349">
        <f aca="true" t="shared" si="48" ref="D513:D576">LEN(C513)</f>
        <v>75</v>
      </c>
      <c r="E513" s="350" t="s">
        <v>1218</v>
      </c>
      <c r="F513" s="51" t="s">
        <v>513</v>
      </c>
      <c r="G513" s="351" t="s">
        <v>681</v>
      </c>
      <c r="H513" s="351" t="s">
        <v>2402</v>
      </c>
      <c r="I513" s="351" t="s">
        <v>2403</v>
      </c>
      <c r="J513" s="351" t="s">
        <v>4213</v>
      </c>
      <c r="K513" s="354">
        <v>4058</v>
      </c>
      <c r="L513" s="355">
        <v>4653</v>
      </c>
      <c r="M513" s="354">
        <v>4599</v>
      </c>
      <c r="N513" s="355">
        <v>4387</v>
      </c>
      <c r="O513" s="355">
        <v>4758</v>
      </c>
      <c r="P513" s="355">
        <v>5146</v>
      </c>
      <c r="Q513" s="355">
        <v>6093</v>
      </c>
      <c r="R513" s="355">
        <v>6445</v>
      </c>
      <c r="S513" s="355">
        <v>7073</v>
      </c>
      <c r="T513" s="355">
        <v>6732</v>
      </c>
      <c r="U513" s="59">
        <f t="shared" si="44"/>
        <v>4058</v>
      </c>
      <c r="V513" s="59">
        <f t="shared" si="45"/>
        <v>7073</v>
      </c>
      <c r="W513" s="59">
        <f t="shared" si="46"/>
        <v>5394.4</v>
      </c>
      <c r="X513" s="60">
        <f t="shared" si="47"/>
        <v>165.89452932479054</v>
      </c>
      <c r="AC513" s="53"/>
      <c r="AL513" s="65">
        <f>_xlfn.IFERROR(INDEX('Tabela PW'!$T:$T,'Słownik PW'!C513,1),"")</f>
        <v>6732</v>
      </c>
    </row>
    <row r="514" spans="1:38" ht="15">
      <c r="A514" s="4" t="s">
        <v>511</v>
      </c>
      <c r="B514" s="5" t="s">
        <v>666</v>
      </c>
      <c r="C514" s="49" t="s">
        <v>517</v>
      </c>
      <c r="D514" s="349">
        <f t="shared" si="48"/>
        <v>75</v>
      </c>
      <c r="E514" s="350" t="s">
        <v>1219</v>
      </c>
      <c r="F514" s="51" t="s">
        <v>154</v>
      </c>
      <c r="G514" s="351" t="s">
        <v>682</v>
      </c>
      <c r="H514" s="351" t="s">
        <v>2404</v>
      </c>
      <c r="I514" s="351" t="s">
        <v>2405</v>
      </c>
      <c r="J514" s="351" t="s">
        <v>4214</v>
      </c>
      <c r="K514" s="354">
        <v>793279</v>
      </c>
      <c r="L514" s="355">
        <v>884994</v>
      </c>
      <c r="M514" s="354">
        <v>769759</v>
      </c>
      <c r="N514" s="355">
        <v>798455</v>
      </c>
      <c r="O514" s="355">
        <v>929694</v>
      </c>
      <c r="P514" s="355">
        <v>936716</v>
      </c>
      <c r="Q514" s="355">
        <v>1008214</v>
      </c>
      <c r="R514" s="355">
        <v>1067145</v>
      </c>
      <c r="S514" s="355">
        <v>1162087</v>
      </c>
      <c r="T514" s="355">
        <v>1367579</v>
      </c>
      <c r="U514" s="59">
        <f t="shared" si="44"/>
        <v>769759</v>
      </c>
      <c r="V514" s="59">
        <f t="shared" si="45"/>
        <v>1367579</v>
      </c>
      <c r="W514" s="59">
        <f t="shared" si="46"/>
        <v>971792.2</v>
      </c>
      <c r="X514" s="60">
        <f t="shared" si="47"/>
        <v>172.395714496413</v>
      </c>
      <c r="AC514" s="53"/>
      <c r="AL514" s="65">
        <f>_xlfn.IFERROR(INDEX('Tabela PW'!$T:$T,'Słownik PW'!C514,1),"")</f>
        <v>1367579</v>
      </c>
    </row>
    <row r="515" spans="1:38" ht="15">
      <c r="A515" s="4" t="s">
        <v>511</v>
      </c>
      <c r="B515" s="5" t="s">
        <v>666</v>
      </c>
      <c r="C515" s="49" t="s">
        <v>518</v>
      </c>
      <c r="D515" s="349">
        <f t="shared" si="48"/>
        <v>27</v>
      </c>
      <c r="E515" s="350" t="s">
        <v>1220</v>
      </c>
      <c r="F515" s="51" t="s">
        <v>154</v>
      </c>
      <c r="G515" s="351" t="s">
        <v>682</v>
      </c>
      <c r="H515" s="351" t="s">
        <v>2406</v>
      </c>
      <c r="I515" s="351" t="s">
        <v>2407</v>
      </c>
      <c r="J515" s="351" t="s">
        <v>4215</v>
      </c>
      <c r="K515" s="354">
        <v>134</v>
      </c>
      <c r="L515" s="355">
        <v>166</v>
      </c>
      <c r="M515" s="354">
        <v>227</v>
      </c>
      <c r="N515" s="355">
        <v>79</v>
      </c>
      <c r="O515" s="355">
        <v>160</v>
      </c>
      <c r="P515" s="355">
        <v>1551</v>
      </c>
      <c r="Q515" s="355">
        <v>1460</v>
      </c>
      <c r="R515" s="355">
        <v>15214</v>
      </c>
      <c r="S515" s="355">
        <v>13104</v>
      </c>
      <c r="T515" s="355" t="s">
        <v>4602</v>
      </c>
      <c r="U515" s="59">
        <f aca="true" t="shared" si="49" ref="U515:U578">MIN(K515:T515)</f>
        <v>79</v>
      </c>
      <c r="V515" s="59">
        <f aca="true" t="shared" si="50" ref="V515:V578">MAX(K515:T515)</f>
        <v>15214</v>
      </c>
      <c r="W515" s="59">
        <f aca="true" t="shared" si="51" ref="W515:W578">AVERAGE(K515:T515)</f>
        <v>3566.1111111111113</v>
      </c>
      <c r="X515" s="60" t="str">
        <f aca="true" t="shared" si="52" ref="X515:X578">_xlfn.IFERROR(T515/K515*100,"-")</f>
        <v>-</v>
      </c>
      <c r="AC515" s="53"/>
      <c r="AL515" s="65" t="str">
        <f>_xlfn.IFERROR(INDEX('Tabela PW'!$T:$T,'Słownik PW'!C515,1),"")</f>
        <v>x</v>
      </c>
    </row>
    <row r="516" spans="1:38" ht="15">
      <c r="A516" s="4" t="s">
        <v>511</v>
      </c>
      <c r="B516" s="5" t="s">
        <v>666</v>
      </c>
      <c r="C516" s="49" t="s">
        <v>519</v>
      </c>
      <c r="D516" s="349">
        <f t="shared" si="48"/>
        <v>64</v>
      </c>
      <c r="E516" s="350" t="s">
        <v>1221</v>
      </c>
      <c r="F516" s="51" t="s">
        <v>154</v>
      </c>
      <c r="G516" s="351" t="s">
        <v>682</v>
      </c>
      <c r="H516" s="351" t="s">
        <v>2408</v>
      </c>
      <c r="I516" s="351" t="s">
        <v>2409</v>
      </c>
      <c r="J516" s="351" t="s">
        <v>4216</v>
      </c>
      <c r="K516" s="354">
        <v>11452</v>
      </c>
      <c r="L516" s="355">
        <v>15088</v>
      </c>
      <c r="M516" s="354">
        <v>12060</v>
      </c>
      <c r="N516" s="355">
        <v>10610</v>
      </c>
      <c r="O516" s="355">
        <v>12686</v>
      </c>
      <c r="P516" s="355">
        <v>10783</v>
      </c>
      <c r="Q516" s="355">
        <v>9082</v>
      </c>
      <c r="R516" s="355">
        <v>13853</v>
      </c>
      <c r="S516" s="355">
        <v>13377</v>
      </c>
      <c r="T516" s="355">
        <v>12410</v>
      </c>
      <c r="U516" s="59">
        <f t="shared" si="49"/>
        <v>9082</v>
      </c>
      <c r="V516" s="59">
        <f t="shared" si="50"/>
        <v>15088</v>
      </c>
      <c r="W516" s="59">
        <f t="shared" si="51"/>
        <v>12140.1</v>
      </c>
      <c r="X516" s="60">
        <f t="shared" si="52"/>
        <v>108.36535103038771</v>
      </c>
      <c r="AC516" s="53"/>
      <c r="AL516" s="65">
        <f>_xlfn.IFERROR(INDEX('Tabela PW'!$T:$T,'Słownik PW'!C516,1),"")</f>
        <v>12410</v>
      </c>
    </row>
    <row r="517" spans="1:38" ht="15">
      <c r="A517" s="4" t="s">
        <v>511</v>
      </c>
      <c r="B517" s="5" t="s">
        <v>666</v>
      </c>
      <c r="C517" s="49" t="s">
        <v>520</v>
      </c>
      <c r="D517" s="349">
        <f t="shared" si="48"/>
        <v>38</v>
      </c>
      <c r="E517" s="350" t="s">
        <v>1222</v>
      </c>
      <c r="F517" s="51" t="s">
        <v>521</v>
      </c>
      <c r="G517" s="351" t="s">
        <v>667</v>
      </c>
      <c r="H517" s="351" t="s">
        <v>2410</v>
      </c>
      <c r="I517" s="351" t="s">
        <v>2411</v>
      </c>
      <c r="J517" s="351" t="s">
        <v>4217</v>
      </c>
      <c r="K517" s="354">
        <v>12752</v>
      </c>
      <c r="L517" s="355">
        <v>12742</v>
      </c>
      <c r="M517" s="354">
        <v>11935</v>
      </c>
      <c r="N517" s="355">
        <v>13864</v>
      </c>
      <c r="O517" s="355">
        <v>15965</v>
      </c>
      <c r="P517" s="355">
        <v>17442</v>
      </c>
      <c r="Q517" s="355">
        <v>19717</v>
      </c>
      <c r="R517" s="355">
        <v>20372</v>
      </c>
      <c r="S517" s="355">
        <v>20583</v>
      </c>
      <c r="T517" s="355">
        <v>23390</v>
      </c>
      <c r="U517" s="59">
        <f t="shared" si="49"/>
        <v>11935</v>
      </c>
      <c r="V517" s="59">
        <f t="shared" si="50"/>
        <v>23390</v>
      </c>
      <c r="W517" s="59">
        <f t="shared" si="51"/>
        <v>16876.2</v>
      </c>
      <c r="X517" s="60">
        <f t="shared" si="52"/>
        <v>183.42220828105397</v>
      </c>
      <c r="AC517" s="53"/>
      <c r="AL517" s="65">
        <f>_xlfn.IFERROR(INDEX('Tabela PW'!$T:$T,'Słownik PW'!C517,1),"")</f>
        <v>23390</v>
      </c>
    </row>
    <row r="518" spans="1:38" ht="15">
      <c r="A518" s="4" t="s">
        <v>511</v>
      </c>
      <c r="B518" s="5" t="s">
        <v>666</v>
      </c>
      <c r="C518" s="49" t="s">
        <v>520</v>
      </c>
      <c r="D518" s="349">
        <f t="shared" si="48"/>
        <v>38</v>
      </c>
      <c r="E518" s="350" t="s">
        <v>1223</v>
      </c>
      <c r="F518" s="51" t="s">
        <v>154</v>
      </c>
      <c r="G518" s="351" t="s">
        <v>682</v>
      </c>
      <c r="H518" s="351" t="s">
        <v>2412</v>
      </c>
      <c r="I518" s="351" t="s">
        <v>2413</v>
      </c>
      <c r="J518" s="351" t="s">
        <v>4218</v>
      </c>
      <c r="K518" s="354">
        <v>28521</v>
      </c>
      <c r="L518" s="355">
        <v>27828</v>
      </c>
      <c r="M518" s="354">
        <v>29441</v>
      </c>
      <c r="N518" s="355">
        <v>26314</v>
      </c>
      <c r="O518" s="355">
        <v>26622</v>
      </c>
      <c r="P518" s="355">
        <v>30517</v>
      </c>
      <c r="Q518" s="355">
        <v>33652</v>
      </c>
      <c r="R518" s="355">
        <v>31214</v>
      </c>
      <c r="S518" s="355">
        <v>24534</v>
      </c>
      <c r="T518" s="355">
        <v>26028</v>
      </c>
      <c r="U518" s="59">
        <f t="shared" si="49"/>
        <v>24534</v>
      </c>
      <c r="V518" s="59">
        <f t="shared" si="50"/>
        <v>33652</v>
      </c>
      <c r="W518" s="59">
        <f t="shared" si="51"/>
        <v>28467.1</v>
      </c>
      <c r="X518" s="60">
        <f t="shared" si="52"/>
        <v>91.25907226254338</v>
      </c>
      <c r="AC518" s="53"/>
      <c r="AL518" s="65">
        <f>_xlfn.IFERROR(INDEX('Tabela PW'!$T:$T,'Słownik PW'!C518,1),"")</f>
        <v>26028</v>
      </c>
    </row>
    <row r="519" spans="1:38" ht="15">
      <c r="A519" s="4" t="s">
        <v>511</v>
      </c>
      <c r="B519" s="5" t="s">
        <v>666</v>
      </c>
      <c r="C519" s="49" t="s">
        <v>522</v>
      </c>
      <c r="D519" s="349">
        <f t="shared" si="48"/>
        <v>14</v>
      </c>
      <c r="E519" s="350" t="s">
        <v>1224</v>
      </c>
      <c r="F519" s="51" t="s">
        <v>521</v>
      </c>
      <c r="G519" s="351" t="s">
        <v>667</v>
      </c>
      <c r="H519" s="351" t="s">
        <v>2414</v>
      </c>
      <c r="I519" s="351" t="s">
        <v>2415</v>
      </c>
      <c r="J519" s="351" t="s">
        <v>4219</v>
      </c>
      <c r="K519" s="354">
        <v>19452</v>
      </c>
      <c r="L519" s="355">
        <v>19817</v>
      </c>
      <c r="M519" s="354">
        <v>21164</v>
      </c>
      <c r="N519" s="355">
        <v>19743</v>
      </c>
      <c r="O519" s="355">
        <v>21563</v>
      </c>
      <c r="P519" s="355">
        <v>23096</v>
      </c>
      <c r="Q519" s="355">
        <v>29154</v>
      </c>
      <c r="R519" s="355">
        <v>29313</v>
      </c>
      <c r="S519" s="355">
        <v>26067</v>
      </c>
      <c r="T519" s="355">
        <v>31567</v>
      </c>
      <c r="U519" s="59">
        <f t="shared" si="49"/>
        <v>19452</v>
      </c>
      <c r="V519" s="59">
        <f t="shared" si="50"/>
        <v>31567</v>
      </c>
      <c r="W519" s="59">
        <f t="shared" si="51"/>
        <v>24093.6</v>
      </c>
      <c r="X519" s="60">
        <f t="shared" si="52"/>
        <v>162.28151346905202</v>
      </c>
      <c r="AC519" s="53"/>
      <c r="AL519" s="65">
        <f>_xlfn.IFERROR(INDEX('Tabela PW'!$T:$T,'Słownik PW'!C519,1),"")</f>
        <v>31567</v>
      </c>
    </row>
    <row r="520" spans="1:38" ht="15">
      <c r="A520" s="4" t="s">
        <v>511</v>
      </c>
      <c r="B520" s="5" t="s">
        <v>666</v>
      </c>
      <c r="C520" s="49" t="s">
        <v>522</v>
      </c>
      <c r="D520" s="349">
        <f t="shared" si="48"/>
        <v>14</v>
      </c>
      <c r="E520" s="350" t="s">
        <v>1225</v>
      </c>
      <c r="F520" s="51" t="s">
        <v>154</v>
      </c>
      <c r="G520" s="351" t="s">
        <v>682</v>
      </c>
      <c r="H520" s="351" t="s">
        <v>2416</v>
      </c>
      <c r="I520" s="351" t="s">
        <v>2417</v>
      </c>
      <c r="J520" s="351" t="s">
        <v>4220</v>
      </c>
      <c r="K520" s="354">
        <v>6421289</v>
      </c>
      <c r="L520" s="355">
        <v>7561582</v>
      </c>
      <c r="M520" s="354">
        <v>7026112</v>
      </c>
      <c r="N520" s="355">
        <v>6494654</v>
      </c>
      <c r="O520" s="355">
        <v>7052447</v>
      </c>
      <c r="P520" s="355">
        <v>6731369</v>
      </c>
      <c r="Q520" s="355">
        <v>6716170</v>
      </c>
      <c r="R520" s="355">
        <v>7440319</v>
      </c>
      <c r="S520" s="355">
        <v>8072350</v>
      </c>
      <c r="T520" s="355">
        <v>8157948</v>
      </c>
      <c r="U520" s="59">
        <f t="shared" si="49"/>
        <v>6421289</v>
      </c>
      <c r="V520" s="59">
        <f t="shared" si="50"/>
        <v>8157948</v>
      </c>
      <c r="W520" s="59">
        <f t="shared" si="51"/>
        <v>7167424</v>
      </c>
      <c r="X520" s="60">
        <f t="shared" si="52"/>
        <v>127.04533310990986</v>
      </c>
      <c r="AC520" s="53"/>
      <c r="AL520" s="65">
        <f>_xlfn.IFERROR(INDEX('Tabela PW'!$T:$T,'Słownik PW'!C520,1),"")</f>
        <v>8157948</v>
      </c>
    </row>
    <row r="521" spans="1:38" ht="15">
      <c r="A521" s="4" t="s">
        <v>511</v>
      </c>
      <c r="B521" s="5" t="s">
        <v>666</v>
      </c>
      <c r="C521" s="49" t="s">
        <v>523</v>
      </c>
      <c r="D521" s="349">
        <f t="shared" si="48"/>
        <v>48</v>
      </c>
      <c r="E521" s="350" t="s">
        <v>1226</v>
      </c>
      <c r="F521" s="51" t="s">
        <v>521</v>
      </c>
      <c r="G521" s="351" t="s">
        <v>667</v>
      </c>
      <c r="H521" s="351" t="s">
        <v>2418</v>
      </c>
      <c r="I521" s="351" t="s">
        <v>2419</v>
      </c>
      <c r="J521" s="351" t="s">
        <v>4221</v>
      </c>
      <c r="K521" s="354">
        <v>3112</v>
      </c>
      <c r="L521" s="355">
        <v>3745</v>
      </c>
      <c r="M521" s="354">
        <v>4579</v>
      </c>
      <c r="N521" s="355">
        <v>3746</v>
      </c>
      <c r="O521" s="355">
        <v>3989</v>
      </c>
      <c r="P521" s="355">
        <v>4263</v>
      </c>
      <c r="Q521" s="355">
        <v>8590</v>
      </c>
      <c r="R521" s="355">
        <v>8189</v>
      </c>
      <c r="S521" s="355">
        <v>3316</v>
      </c>
      <c r="T521" s="355">
        <v>3494</v>
      </c>
      <c r="U521" s="59">
        <f t="shared" si="49"/>
        <v>3112</v>
      </c>
      <c r="V521" s="59">
        <f t="shared" si="50"/>
        <v>8590</v>
      </c>
      <c r="W521" s="59">
        <f t="shared" si="51"/>
        <v>4702.3</v>
      </c>
      <c r="X521" s="60">
        <f t="shared" si="52"/>
        <v>112.27506426735219</v>
      </c>
      <c r="AC521" s="53"/>
      <c r="AL521" s="65">
        <f>_xlfn.IFERROR(INDEX('Tabela PW'!$T:$T,'Słownik PW'!C521,1),"")</f>
        <v>3494</v>
      </c>
    </row>
    <row r="522" spans="1:38" ht="15">
      <c r="A522" s="4" t="s">
        <v>511</v>
      </c>
      <c r="B522" s="5" t="s">
        <v>666</v>
      </c>
      <c r="C522" s="49" t="s">
        <v>523</v>
      </c>
      <c r="D522" s="349">
        <f t="shared" si="48"/>
        <v>48</v>
      </c>
      <c r="E522" s="350" t="s">
        <v>1227</v>
      </c>
      <c r="F522" s="51" t="s">
        <v>154</v>
      </c>
      <c r="G522" s="351" t="s">
        <v>682</v>
      </c>
      <c r="H522" s="351" t="s">
        <v>2420</v>
      </c>
      <c r="I522" s="351" t="s">
        <v>2421</v>
      </c>
      <c r="J522" s="351" t="s">
        <v>4222</v>
      </c>
      <c r="K522" s="354">
        <v>5876869</v>
      </c>
      <c r="L522" s="355">
        <v>7142999</v>
      </c>
      <c r="M522" s="354">
        <v>5785792</v>
      </c>
      <c r="N522" s="355">
        <v>5278400</v>
      </c>
      <c r="O522" s="355">
        <v>5770782</v>
      </c>
      <c r="P522" s="355">
        <v>5418301</v>
      </c>
      <c r="Q522" s="355">
        <v>5646339</v>
      </c>
      <c r="R522" s="355">
        <v>5980303</v>
      </c>
      <c r="S522" s="355">
        <v>5658060</v>
      </c>
      <c r="T522" s="355">
        <v>5510749</v>
      </c>
      <c r="U522" s="59">
        <f t="shared" si="49"/>
        <v>5278400</v>
      </c>
      <c r="V522" s="59">
        <f t="shared" si="50"/>
        <v>7142999</v>
      </c>
      <c r="W522" s="59">
        <f t="shared" si="51"/>
        <v>5806859.4</v>
      </c>
      <c r="X522" s="60">
        <f t="shared" si="52"/>
        <v>93.770152099698</v>
      </c>
      <c r="AC522" s="53"/>
      <c r="AL522" s="65">
        <f>_xlfn.IFERROR(INDEX('Tabela PW'!$T:$T,'Słownik PW'!C522,1),"")</f>
        <v>5510749</v>
      </c>
    </row>
    <row r="523" spans="1:38" ht="15">
      <c r="A523" s="4" t="s">
        <v>511</v>
      </c>
      <c r="B523" s="5" t="s">
        <v>666</v>
      </c>
      <c r="C523" s="49" t="s">
        <v>524</v>
      </c>
      <c r="D523" s="349">
        <f t="shared" si="48"/>
        <v>81</v>
      </c>
      <c r="E523" s="350" t="s">
        <v>1228</v>
      </c>
      <c r="F523" s="51" t="s">
        <v>154</v>
      </c>
      <c r="G523" s="351" t="s">
        <v>682</v>
      </c>
      <c r="H523" s="351" t="s">
        <v>2422</v>
      </c>
      <c r="I523" s="351" t="s">
        <v>2423</v>
      </c>
      <c r="J523" s="351" t="s">
        <v>4223</v>
      </c>
      <c r="K523" s="354">
        <v>4227800</v>
      </c>
      <c r="L523" s="355">
        <v>4286828</v>
      </c>
      <c r="M523" s="354">
        <v>3409214</v>
      </c>
      <c r="N523" s="355">
        <v>6330441</v>
      </c>
      <c r="O523" s="355">
        <v>11521873</v>
      </c>
      <c r="P523" s="355">
        <v>14352721</v>
      </c>
      <c r="Q523" s="355">
        <v>16711189</v>
      </c>
      <c r="R523" s="355">
        <v>16421482</v>
      </c>
      <c r="S523" s="355">
        <v>15715874</v>
      </c>
      <c r="T523" s="355">
        <v>19359488</v>
      </c>
      <c r="U523" s="59">
        <f t="shared" si="49"/>
        <v>3409214</v>
      </c>
      <c r="V523" s="59">
        <f t="shared" si="50"/>
        <v>19359488</v>
      </c>
      <c r="W523" s="59">
        <f t="shared" si="51"/>
        <v>11233691</v>
      </c>
      <c r="X523" s="60">
        <f t="shared" si="52"/>
        <v>457.9092672311841</v>
      </c>
      <c r="AC523" s="53"/>
      <c r="AL523" s="65">
        <f>_xlfn.IFERROR(INDEX('Tabela PW'!$T:$T,'Słownik PW'!C523,1),"")</f>
        <v>19359488</v>
      </c>
    </row>
    <row r="524" spans="1:38" ht="15">
      <c r="A524" s="4" t="s">
        <v>511</v>
      </c>
      <c r="B524" s="5" t="s">
        <v>666</v>
      </c>
      <c r="C524" s="49" t="s">
        <v>525</v>
      </c>
      <c r="D524" s="349">
        <f t="shared" si="48"/>
        <v>28</v>
      </c>
      <c r="E524" s="350" t="s">
        <v>1229</v>
      </c>
      <c r="F524" s="51" t="s">
        <v>156</v>
      </c>
      <c r="G524" s="351" t="s">
        <v>705</v>
      </c>
      <c r="H524" s="351" t="s">
        <v>2424</v>
      </c>
      <c r="I524" s="351" t="s">
        <v>2425</v>
      </c>
      <c r="J524" s="351" t="s">
        <v>4224</v>
      </c>
      <c r="K524" s="354">
        <v>432305</v>
      </c>
      <c r="L524" s="355">
        <v>460898</v>
      </c>
      <c r="M524" s="354">
        <v>457155</v>
      </c>
      <c r="N524" s="355">
        <v>564067</v>
      </c>
      <c r="O524" s="355">
        <v>629714</v>
      </c>
      <c r="P524" s="355">
        <v>790936</v>
      </c>
      <c r="Q524" s="355">
        <v>881177</v>
      </c>
      <c r="R524" s="355">
        <v>950828</v>
      </c>
      <c r="S524" s="355">
        <v>996947</v>
      </c>
      <c r="T524" s="355">
        <v>972804</v>
      </c>
      <c r="U524" s="59">
        <f t="shared" si="49"/>
        <v>432305</v>
      </c>
      <c r="V524" s="59">
        <f t="shared" si="50"/>
        <v>996947</v>
      </c>
      <c r="W524" s="59">
        <f t="shared" si="51"/>
        <v>713683.1</v>
      </c>
      <c r="X524" s="60">
        <f t="shared" si="52"/>
        <v>225.02723771411385</v>
      </c>
      <c r="AC524" s="53"/>
      <c r="AL524" s="65">
        <f>_xlfn.IFERROR(INDEX('Tabela PW'!$T:$T,'Słownik PW'!C524,1),"")</f>
        <v>972804</v>
      </c>
    </row>
    <row r="525" spans="1:38" ht="15">
      <c r="A525" s="4" t="s">
        <v>511</v>
      </c>
      <c r="B525" s="5" t="s">
        <v>666</v>
      </c>
      <c r="C525" s="49" t="s">
        <v>526</v>
      </c>
      <c r="D525" s="349">
        <f t="shared" si="48"/>
        <v>28</v>
      </c>
      <c r="E525" s="350" t="s">
        <v>1230</v>
      </c>
      <c r="F525" s="51" t="s">
        <v>154</v>
      </c>
      <c r="G525" s="351" t="s">
        <v>682</v>
      </c>
      <c r="H525" s="351" t="s">
        <v>2426</v>
      </c>
      <c r="I525" s="351" t="s">
        <v>2427</v>
      </c>
      <c r="J525" s="351" t="s">
        <v>4225</v>
      </c>
      <c r="K525" s="354">
        <v>6121392</v>
      </c>
      <c r="L525" s="355">
        <v>5878689</v>
      </c>
      <c r="M525" s="354">
        <v>6199802</v>
      </c>
      <c r="N525" s="355">
        <v>6191558</v>
      </c>
      <c r="O525" s="355">
        <v>6243233</v>
      </c>
      <c r="P525" s="355">
        <v>7177902</v>
      </c>
      <c r="Q525" s="355">
        <v>7649319</v>
      </c>
      <c r="R525" s="355">
        <v>7830367</v>
      </c>
      <c r="S525" s="355">
        <v>6741623</v>
      </c>
      <c r="T525" s="355">
        <v>6387198</v>
      </c>
      <c r="U525" s="59">
        <f t="shared" si="49"/>
        <v>5878689</v>
      </c>
      <c r="V525" s="59">
        <f t="shared" si="50"/>
        <v>7830367</v>
      </c>
      <c r="W525" s="59">
        <f t="shared" si="51"/>
        <v>6642108.3</v>
      </c>
      <c r="X525" s="60">
        <f t="shared" si="52"/>
        <v>104.34224764563353</v>
      </c>
      <c r="AC525" s="53"/>
      <c r="AL525" s="65">
        <f>_xlfn.IFERROR(INDEX('Tabela PW'!$T:$T,'Słownik PW'!C525,1),"")</f>
        <v>6387198</v>
      </c>
    </row>
    <row r="526" spans="1:38" ht="15">
      <c r="A526" s="4" t="s">
        <v>511</v>
      </c>
      <c r="B526" s="5" t="s">
        <v>666</v>
      </c>
      <c r="C526" s="49" t="s">
        <v>526</v>
      </c>
      <c r="D526" s="349">
        <f t="shared" si="48"/>
        <v>28</v>
      </c>
      <c r="E526" s="350" t="s">
        <v>1231</v>
      </c>
      <c r="F526" s="51" t="s">
        <v>25</v>
      </c>
      <c r="G526" s="351" t="s">
        <v>683</v>
      </c>
      <c r="H526" s="351" t="s">
        <v>2428</v>
      </c>
      <c r="I526" s="351" t="s">
        <v>2429</v>
      </c>
      <c r="J526" s="351" t="s">
        <v>4226</v>
      </c>
      <c r="K526" s="354">
        <v>147829</v>
      </c>
      <c r="L526" s="355">
        <v>151001</v>
      </c>
      <c r="M526" s="354">
        <v>178462</v>
      </c>
      <c r="N526" s="355">
        <v>179459</v>
      </c>
      <c r="O526" s="355">
        <v>177185</v>
      </c>
      <c r="P526" s="355">
        <v>193315</v>
      </c>
      <c r="Q526" s="355">
        <v>206927</v>
      </c>
      <c r="R526" s="355">
        <v>211679</v>
      </c>
      <c r="S526" s="355">
        <v>197799</v>
      </c>
      <c r="T526" s="355">
        <v>197467</v>
      </c>
      <c r="U526" s="59">
        <f t="shared" si="49"/>
        <v>147829</v>
      </c>
      <c r="V526" s="59">
        <f t="shared" si="50"/>
        <v>211679</v>
      </c>
      <c r="W526" s="59">
        <f t="shared" si="51"/>
        <v>184112.3</v>
      </c>
      <c r="X526" s="60">
        <f t="shared" si="52"/>
        <v>133.57798537499409</v>
      </c>
      <c r="AC526" s="53"/>
      <c r="AL526" s="65">
        <f>_xlfn.IFERROR(INDEX('Tabela PW'!$T:$T,'Słownik PW'!C526,1),"")</f>
        <v>197467</v>
      </c>
    </row>
    <row r="527" spans="1:38" ht="15">
      <c r="A527" s="4" t="s">
        <v>511</v>
      </c>
      <c r="B527" s="5" t="s">
        <v>666</v>
      </c>
      <c r="C527" s="49" t="s">
        <v>527</v>
      </c>
      <c r="D527" s="349">
        <f t="shared" si="48"/>
        <v>77</v>
      </c>
      <c r="E527" s="350" t="s">
        <v>1232</v>
      </c>
      <c r="F527" s="51" t="s">
        <v>154</v>
      </c>
      <c r="G527" s="351" t="s">
        <v>682</v>
      </c>
      <c r="H527" s="351" t="s">
        <v>2430</v>
      </c>
      <c r="I527" s="351" t="s">
        <v>2431</v>
      </c>
      <c r="J527" s="351" t="s">
        <v>4227</v>
      </c>
      <c r="K527" s="354">
        <v>5964158</v>
      </c>
      <c r="L527" s="355">
        <v>5693329</v>
      </c>
      <c r="M527" s="354">
        <v>6032637</v>
      </c>
      <c r="N527" s="355">
        <v>6016762</v>
      </c>
      <c r="O527" s="355">
        <v>6050245</v>
      </c>
      <c r="P527" s="355">
        <v>6985933</v>
      </c>
      <c r="Q527" s="355">
        <v>7461842</v>
      </c>
      <c r="R527" s="355">
        <v>7649917</v>
      </c>
      <c r="S527" s="355">
        <v>6537842</v>
      </c>
      <c r="T527" s="355">
        <v>6167619</v>
      </c>
      <c r="U527" s="59">
        <f t="shared" si="49"/>
        <v>5693329</v>
      </c>
      <c r="V527" s="59">
        <f t="shared" si="50"/>
        <v>7649917</v>
      </c>
      <c r="W527" s="59">
        <f t="shared" si="51"/>
        <v>6456028.4</v>
      </c>
      <c r="X527" s="60">
        <f t="shared" si="52"/>
        <v>103.41139520448654</v>
      </c>
      <c r="AC527" s="53"/>
      <c r="AL527" s="65">
        <f>_xlfn.IFERROR(INDEX('Tabela PW'!$T:$T,'Słownik PW'!C527,1),"")</f>
        <v>6167619</v>
      </c>
    </row>
    <row r="528" spans="1:38" ht="15">
      <c r="A528" s="4" t="s">
        <v>511</v>
      </c>
      <c r="B528" s="5" t="s">
        <v>666</v>
      </c>
      <c r="C528" s="49" t="s">
        <v>528</v>
      </c>
      <c r="D528" s="349">
        <f t="shared" si="48"/>
        <v>19</v>
      </c>
      <c r="E528" s="350" t="s">
        <v>1233</v>
      </c>
      <c r="F528" s="51" t="s">
        <v>361</v>
      </c>
      <c r="G528" s="351" t="s">
        <v>676</v>
      </c>
      <c r="H528" s="351" t="s">
        <v>2432</v>
      </c>
      <c r="I528" s="351" t="s">
        <v>2433</v>
      </c>
      <c r="J528" s="351" t="s">
        <v>4228</v>
      </c>
      <c r="K528" s="354">
        <v>70807</v>
      </c>
      <c r="L528" s="355">
        <v>59469</v>
      </c>
      <c r="M528" s="354">
        <v>82437</v>
      </c>
      <c r="N528" s="355">
        <v>121412</v>
      </c>
      <c r="O528" s="355">
        <v>181042</v>
      </c>
      <c r="P528" s="355">
        <v>186819</v>
      </c>
      <c r="Q528" s="355">
        <v>193114</v>
      </c>
      <c r="R528" s="355">
        <v>221571</v>
      </c>
      <c r="S528" s="355">
        <v>499038</v>
      </c>
      <c r="T528" s="355">
        <v>560029</v>
      </c>
      <c r="U528" s="59">
        <f t="shared" si="49"/>
        <v>59469</v>
      </c>
      <c r="V528" s="59">
        <f t="shared" si="50"/>
        <v>560029</v>
      </c>
      <c r="W528" s="59">
        <f t="shared" si="51"/>
        <v>217573.8</v>
      </c>
      <c r="X528" s="60">
        <f t="shared" si="52"/>
        <v>790.9232138065446</v>
      </c>
      <c r="AC528" s="53"/>
      <c r="AL528" s="65">
        <f>_xlfn.IFERROR(INDEX('Tabela PW'!$T:$T,'Słownik PW'!C528,1),"")</f>
        <v>560029</v>
      </c>
    </row>
    <row r="529" spans="1:38" ht="15">
      <c r="A529" s="4" t="s">
        <v>511</v>
      </c>
      <c r="B529" s="5" t="s">
        <v>666</v>
      </c>
      <c r="C529" s="49" t="s">
        <v>528</v>
      </c>
      <c r="D529" s="349">
        <f t="shared" si="48"/>
        <v>19</v>
      </c>
      <c r="E529" s="350" t="s">
        <v>1234</v>
      </c>
      <c r="F529" s="51" t="s">
        <v>25</v>
      </c>
      <c r="G529" s="351" t="s">
        <v>683</v>
      </c>
      <c r="H529" s="351" t="s">
        <v>2434</v>
      </c>
      <c r="I529" s="351" t="s">
        <v>2435</v>
      </c>
      <c r="J529" s="351" t="s">
        <v>4229</v>
      </c>
      <c r="K529" s="354">
        <v>4747</v>
      </c>
      <c r="L529" s="355">
        <v>4134</v>
      </c>
      <c r="M529" s="354">
        <v>5313</v>
      </c>
      <c r="N529" s="355">
        <v>7604</v>
      </c>
      <c r="O529" s="355">
        <v>11015</v>
      </c>
      <c r="P529" s="355">
        <v>11036</v>
      </c>
      <c r="Q529" s="355">
        <v>11451</v>
      </c>
      <c r="R529" s="355">
        <v>10973</v>
      </c>
      <c r="S529" s="355">
        <v>16374</v>
      </c>
      <c r="T529" s="355">
        <v>20726</v>
      </c>
      <c r="U529" s="59">
        <f t="shared" si="49"/>
        <v>4134</v>
      </c>
      <c r="V529" s="59">
        <f t="shared" si="50"/>
        <v>20726</v>
      </c>
      <c r="W529" s="59">
        <f t="shared" si="51"/>
        <v>10337.3</v>
      </c>
      <c r="X529" s="60">
        <f t="shared" si="52"/>
        <v>436.61259742995577</v>
      </c>
      <c r="AC529" s="53"/>
      <c r="AL529" s="65">
        <f>_xlfn.IFERROR(INDEX('Tabela PW'!$T:$T,'Słownik PW'!C529,1),"")</f>
        <v>20726</v>
      </c>
    </row>
    <row r="530" spans="1:38" ht="15">
      <c r="A530" s="4" t="s">
        <v>511</v>
      </c>
      <c r="B530" s="5" t="s">
        <v>666</v>
      </c>
      <c r="C530" s="49" t="s">
        <v>529</v>
      </c>
      <c r="D530" s="349">
        <f t="shared" si="48"/>
        <v>26</v>
      </c>
      <c r="E530" s="350" t="s">
        <v>1235</v>
      </c>
      <c r="F530" s="51" t="s">
        <v>25</v>
      </c>
      <c r="G530" s="351" t="s">
        <v>683</v>
      </c>
      <c r="H530" s="351" t="s">
        <v>2436</v>
      </c>
      <c r="I530" s="351" t="s">
        <v>2437</v>
      </c>
      <c r="J530" s="351" t="s">
        <v>4230</v>
      </c>
      <c r="K530" s="354">
        <v>328409</v>
      </c>
      <c r="L530" s="355">
        <v>315530</v>
      </c>
      <c r="M530" s="354">
        <v>296731</v>
      </c>
      <c r="N530" s="355">
        <v>318259</v>
      </c>
      <c r="O530" s="355">
        <v>339236</v>
      </c>
      <c r="P530" s="355">
        <v>360764</v>
      </c>
      <c r="Q530" s="355">
        <v>349632</v>
      </c>
      <c r="R530" s="355">
        <v>365827</v>
      </c>
      <c r="S530" s="355">
        <v>406589</v>
      </c>
      <c r="T530" s="355">
        <v>469642</v>
      </c>
      <c r="U530" s="59">
        <f t="shared" si="49"/>
        <v>296731</v>
      </c>
      <c r="V530" s="59">
        <f t="shared" si="50"/>
        <v>469642</v>
      </c>
      <c r="W530" s="59">
        <f t="shared" si="51"/>
        <v>355061.9</v>
      </c>
      <c r="X530" s="60">
        <f t="shared" si="52"/>
        <v>143.0052160568072</v>
      </c>
      <c r="AC530" s="53"/>
      <c r="AL530" s="65">
        <f>_xlfn.IFERROR(INDEX('Tabela PW'!$T:$T,'Słownik PW'!C530,1),"")</f>
        <v>469642</v>
      </c>
    </row>
    <row r="531" spans="1:38" ht="15">
      <c r="A531" s="4" t="s">
        <v>511</v>
      </c>
      <c r="B531" s="5" t="s">
        <v>666</v>
      </c>
      <c r="C531" s="49" t="s">
        <v>530</v>
      </c>
      <c r="D531" s="349">
        <f t="shared" si="48"/>
        <v>19</v>
      </c>
      <c r="E531" s="350" t="s">
        <v>1236</v>
      </c>
      <c r="F531" s="51" t="s">
        <v>361</v>
      </c>
      <c r="G531" s="351" t="s">
        <v>676</v>
      </c>
      <c r="H531" s="351" t="s">
        <v>2438</v>
      </c>
      <c r="I531" s="351" t="s">
        <v>2439</v>
      </c>
      <c r="J531" s="351" t="s">
        <v>4231</v>
      </c>
      <c r="K531" s="354">
        <v>26670</v>
      </c>
      <c r="L531" s="355">
        <v>23250</v>
      </c>
      <c r="M531" s="354">
        <v>20851</v>
      </c>
      <c r="N531" s="355">
        <v>78005</v>
      </c>
      <c r="O531" s="355">
        <v>78962</v>
      </c>
      <c r="P531" s="355">
        <v>85375</v>
      </c>
      <c r="Q531" s="355">
        <v>97497</v>
      </c>
      <c r="R531" s="355">
        <v>105420</v>
      </c>
      <c r="S531" s="355">
        <v>106568</v>
      </c>
      <c r="T531" s="355">
        <v>93187</v>
      </c>
      <c r="U531" s="59">
        <f t="shared" si="49"/>
        <v>20851</v>
      </c>
      <c r="V531" s="59">
        <f t="shared" si="50"/>
        <v>106568</v>
      </c>
      <c r="W531" s="59">
        <f t="shared" si="51"/>
        <v>71578.5</v>
      </c>
      <c r="X531" s="60">
        <f t="shared" si="52"/>
        <v>349.40757405324337</v>
      </c>
      <c r="AC531" s="53"/>
      <c r="AL531" s="65">
        <f>_xlfn.IFERROR(INDEX('Tabela PW'!$T:$T,'Słownik PW'!C531,1),"")</f>
        <v>93187</v>
      </c>
    </row>
    <row r="532" spans="1:38" ht="15">
      <c r="A532" s="4" t="s">
        <v>511</v>
      </c>
      <c r="B532" s="5" t="s">
        <v>666</v>
      </c>
      <c r="C532" s="49" t="s">
        <v>530</v>
      </c>
      <c r="D532" s="349">
        <f t="shared" si="48"/>
        <v>19</v>
      </c>
      <c r="E532" s="350" t="s">
        <v>1237</v>
      </c>
      <c r="F532" s="51" t="s">
        <v>25</v>
      </c>
      <c r="G532" s="351" t="s">
        <v>683</v>
      </c>
      <c r="H532" s="351" t="s">
        <v>2440</v>
      </c>
      <c r="I532" s="351" t="s">
        <v>2441</v>
      </c>
      <c r="J532" s="351" t="s">
        <v>4232</v>
      </c>
      <c r="K532" s="354">
        <v>6700</v>
      </c>
      <c r="L532" s="355">
        <v>6126</v>
      </c>
      <c r="M532" s="354">
        <v>4709</v>
      </c>
      <c r="N532" s="355">
        <v>7609</v>
      </c>
      <c r="O532" s="355">
        <v>8733</v>
      </c>
      <c r="P532" s="355">
        <v>7999</v>
      </c>
      <c r="Q532" s="355">
        <v>7013</v>
      </c>
      <c r="R532" s="355">
        <v>7583</v>
      </c>
      <c r="S532" s="355">
        <v>5733</v>
      </c>
      <c r="T532" s="355">
        <v>5105</v>
      </c>
      <c r="U532" s="59">
        <f t="shared" si="49"/>
        <v>4709</v>
      </c>
      <c r="V532" s="59">
        <f t="shared" si="50"/>
        <v>8733</v>
      </c>
      <c r="W532" s="59">
        <f t="shared" si="51"/>
        <v>6731</v>
      </c>
      <c r="X532" s="60">
        <f t="shared" si="52"/>
        <v>76.19402985074628</v>
      </c>
      <c r="AC532" s="53"/>
      <c r="AL532" s="65">
        <f>_xlfn.IFERROR(INDEX('Tabela PW'!$T:$T,'Słownik PW'!C532,1),"")</f>
        <v>5105</v>
      </c>
    </row>
    <row r="533" spans="1:38" ht="15">
      <c r="A533" s="4" t="s">
        <v>511</v>
      </c>
      <c r="B533" s="5" t="s">
        <v>666</v>
      </c>
      <c r="C533" s="49" t="s">
        <v>531</v>
      </c>
      <c r="D533" s="349">
        <f t="shared" si="48"/>
        <v>48</v>
      </c>
      <c r="E533" s="350" t="s">
        <v>1238</v>
      </c>
      <c r="F533" s="51" t="s">
        <v>361</v>
      </c>
      <c r="G533" s="351" t="s">
        <v>676</v>
      </c>
      <c r="H533" s="351" t="s">
        <v>2442</v>
      </c>
      <c r="I533" s="351" t="s">
        <v>2443</v>
      </c>
      <c r="J533" s="351" t="s">
        <v>4233</v>
      </c>
      <c r="K533" s="354">
        <v>484963</v>
      </c>
      <c r="L533" s="355">
        <v>473174</v>
      </c>
      <c r="M533" s="354">
        <v>408320</v>
      </c>
      <c r="N533" s="355">
        <v>471099</v>
      </c>
      <c r="O533" s="355">
        <v>485737</v>
      </c>
      <c r="P533" s="355">
        <v>497140</v>
      </c>
      <c r="Q533" s="355">
        <v>459562</v>
      </c>
      <c r="R533" s="355">
        <v>461238</v>
      </c>
      <c r="S533" s="355">
        <v>477706</v>
      </c>
      <c r="T533" s="355">
        <v>396813</v>
      </c>
      <c r="U533" s="59">
        <f t="shared" si="49"/>
        <v>396813</v>
      </c>
      <c r="V533" s="59">
        <f t="shared" si="50"/>
        <v>497140</v>
      </c>
      <c r="W533" s="59">
        <f t="shared" si="51"/>
        <v>461575.2</v>
      </c>
      <c r="X533" s="60">
        <f t="shared" si="52"/>
        <v>81.82335559620012</v>
      </c>
      <c r="AC533" s="53"/>
      <c r="AL533" s="65">
        <f>_xlfn.IFERROR(INDEX('Tabela PW'!$T:$T,'Słownik PW'!C533,1),"")</f>
        <v>396813</v>
      </c>
    </row>
    <row r="534" spans="1:38" ht="15">
      <c r="A534" s="4" t="s">
        <v>511</v>
      </c>
      <c r="B534" s="5" t="s">
        <v>666</v>
      </c>
      <c r="C534" s="49" t="s">
        <v>531</v>
      </c>
      <c r="D534" s="349">
        <f t="shared" si="48"/>
        <v>48</v>
      </c>
      <c r="E534" s="350" t="s">
        <v>1239</v>
      </c>
      <c r="F534" s="51" t="s">
        <v>25</v>
      </c>
      <c r="G534" s="351" t="s">
        <v>683</v>
      </c>
      <c r="H534" s="351" t="s">
        <v>2444</v>
      </c>
      <c r="I534" s="351" t="s">
        <v>2445</v>
      </c>
      <c r="J534" s="351" t="s">
        <v>4234</v>
      </c>
      <c r="K534" s="354">
        <v>21545</v>
      </c>
      <c r="L534" s="355">
        <v>19191</v>
      </c>
      <c r="M534" s="354">
        <v>16729</v>
      </c>
      <c r="N534" s="355">
        <v>18199</v>
      </c>
      <c r="O534" s="355">
        <v>18539</v>
      </c>
      <c r="P534" s="355">
        <v>18791</v>
      </c>
      <c r="Q534" s="355">
        <v>16354</v>
      </c>
      <c r="R534" s="355">
        <v>17629</v>
      </c>
      <c r="S534" s="355">
        <v>18168</v>
      </c>
      <c r="T534" s="355">
        <v>15122</v>
      </c>
      <c r="U534" s="59">
        <f t="shared" si="49"/>
        <v>15122</v>
      </c>
      <c r="V534" s="59">
        <f t="shared" si="50"/>
        <v>21545</v>
      </c>
      <c r="W534" s="59">
        <f t="shared" si="51"/>
        <v>18026.7</v>
      </c>
      <c r="X534" s="60">
        <f t="shared" si="52"/>
        <v>70.18797864933859</v>
      </c>
      <c r="AC534" s="53"/>
      <c r="AL534" s="65">
        <f>_xlfn.IFERROR(INDEX('Tabela PW'!$T:$T,'Słownik PW'!C534,1),"")</f>
        <v>15122</v>
      </c>
    </row>
    <row r="535" spans="1:38" ht="15">
      <c r="A535" s="4" t="s">
        <v>511</v>
      </c>
      <c r="B535" s="5" t="s">
        <v>666</v>
      </c>
      <c r="C535" s="49" t="s">
        <v>532</v>
      </c>
      <c r="D535" s="349">
        <f t="shared" si="48"/>
        <v>25</v>
      </c>
      <c r="E535" s="350" t="s">
        <v>1240</v>
      </c>
      <c r="F535" s="51" t="s">
        <v>361</v>
      </c>
      <c r="G535" s="351" t="s">
        <v>676</v>
      </c>
      <c r="H535" s="351" t="s">
        <v>2446</v>
      </c>
      <c r="I535" s="351" t="s">
        <v>2447</v>
      </c>
      <c r="J535" s="351" t="s">
        <v>4235</v>
      </c>
      <c r="K535" s="354">
        <v>23434</v>
      </c>
      <c r="L535" s="355">
        <v>26806</v>
      </c>
      <c r="M535" s="354">
        <v>25776</v>
      </c>
      <c r="N535" s="355">
        <v>30606</v>
      </c>
      <c r="O535" s="355">
        <v>26629</v>
      </c>
      <c r="P535" s="355">
        <v>27668</v>
      </c>
      <c r="Q535" s="355">
        <v>25863</v>
      </c>
      <c r="R535" s="355">
        <v>29229</v>
      </c>
      <c r="S535" s="355">
        <v>28161</v>
      </c>
      <c r="T535" s="355">
        <v>25676</v>
      </c>
      <c r="U535" s="59">
        <f t="shared" si="49"/>
        <v>23434</v>
      </c>
      <c r="V535" s="59">
        <f t="shared" si="50"/>
        <v>30606</v>
      </c>
      <c r="W535" s="59">
        <f t="shared" si="51"/>
        <v>26984.8</v>
      </c>
      <c r="X535" s="60">
        <f t="shared" si="52"/>
        <v>109.56729538277716</v>
      </c>
      <c r="AC535" s="53"/>
      <c r="AL535" s="65">
        <f>_xlfn.IFERROR(INDEX('Tabela PW'!$T:$T,'Słownik PW'!C535,1),"")</f>
        <v>25676</v>
      </c>
    </row>
    <row r="536" spans="1:38" ht="15">
      <c r="A536" s="4" t="s">
        <v>511</v>
      </c>
      <c r="B536" s="5" t="s">
        <v>666</v>
      </c>
      <c r="C536" s="49" t="s">
        <v>532</v>
      </c>
      <c r="D536" s="349">
        <f t="shared" si="48"/>
        <v>25</v>
      </c>
      <c r="E536" s="350" t="s">
        <v>1241</v>
      </c>
      <c r="F536" s="51" t="s">
        <v>25</v>
      </c>
      <c r="G536" s="351" t="s">
        <v>683</v>
      </c>
      <c r="H536" s="351" t="s">
        <v>2448</v>
      </c>
      <c r="I536" s="351" t="s">
        <v>2449</v>
      </c>
      <c r="J536" s="351" t="s">
        <v>4236</v>
      </c>
      <c r="K536" s="354">
        <v>48245</v>
      </c>
      <c r="L536" s="355">
        <v>56352</v>
      </c>
      <c r="M536" s="354">
        <v>57684</v>
      </c>
      <c r="N536" s="355">
        <v>58500</v>
      </c>
      <c r="O536" s="355">
        <v>58931</v>
      </c>
      <c r="P536" s="355">
        <v>63163</v>
      </c>
      <c r="Q536" s="355">
        <v>61880</v>
      </c>
      <c r="R536" s="355">
        <v>61854</v>
      </c>
      <c r="S536" s="355">
        <v>61734</v>
      </c>
      <c r="T536" s="355">
        <v>65346</v>
      </c>
      <c r="U536" s="59">
        <f t="shared" si="49"/>
        <v>48245</v>
      </c>
      <c r="V536" s="59">
        <f t="shared" si="50"/>
        <v>65346</v>
      </c>
      <c r="W536" s="59">
        <f t="shared" si="51"/>
        <v>59368.9</v>
      </c>
      <c r="X536" s="60">
        <f t="shared" si="52"/>
        <v>135.4461602238574</v>
      </c>
      <c r="AC536" s="53"/>
      <c r="AL536" s="65">
        <f>_xlfn.IFERROR(INDEX('Tabela PW'!$T:$T,'Słownik PW'!C536,1),"")</f>
        <v>65346</v>
      </c>
    </row>
    <row r="537" spans="1:38" ht="15">
      <c r="A537" s="4" t="s">
        <v>511</v>
      </c>
      <c r="B537" s="5" t="s">
        <v>666</v>
      </c>
      <c r="C537" s="49" t="s">
        <v>533</v>
      </c>
      <c r="D537" s="349">
        <f t="shared" si="48"/>
        <v>48</v>
      </c>
      <c r="E537" s="350" t="s">
        <v>1242</v>
      </c>
      <c r="F537" s="51" t="s">
        <v>156</v>
      </c>
      <c r="G537" s="351" t="s">
        <v>705</v>
      </c>
      <c r="H537" s="351" t="s">
        <v>2450</v>
      </c>
      <c r="I537" s="351" t="s">
        <v>2451</v>
      </c>
      <c r="J537" s="351" t="s">
        <v>4237</v>
      </c>
      <c r="K537" s="354">
        <v>505072</v>
      </c>
      <c r="L537" s="355">
        <v>501990</v>
      </c>
      <c r="M537" s="354">
        <v>244210</v>
      </c>
      <c r="N537" s="355">
        <v>196200</v>
      </c>
      <c r="O537" s="355">
        <v>140398</v>
      </c>
      <c r="P537" s="355">
        <v>76418</v>
      </c>
      <c r="Q537" s="355">
        <v>44888</v>
      </c>
      <c r="R537" s="355">
        <v>24271</v>
      </c>
      <c r="S537" s="355">
        <v>31453</v>
      </c>
      <c r="T537" s="355">
        <v>33085</v>
      </c>
      <c r="U537" s="59">
        <f t="shared" si="49"/>
        <v>24271</v>
      </c>
      <c r="V537" s="59">
        <f t="shared" si="50"/>
        <v>505072</v>
      </c>
      <c r="W537" s="59">
        <f t="shared" si="51"/>
        <v>179798.5</v>
      </c>
      <c r="X537" s="60">
        <f t="shared" si="52"/>
        <v>6.550551208540564</v>
      </c>
      <c r="AC537" s="53"/>
      <c r="AL537" s="65">
        <f>_xlfn.IFERROR(INDEX('Tabela PW'!$T:$T,'Słownik PW'!C537,1),"")</f>
        <v>33085</v>
      </c>
    </row>
    <row r="538" spans="1:38" ht="15">
      <c r="A538" s="4" t="s">
        <v>511</v>
      </c>
      <c r="B538" s="5" t="s">
        <v>666</v>
      </c>
      <c r="C538" s="49" t="s">
        <v>534</v>
      </c>
      <c r="D538" s="349">
        <f t="shared" si="48"/>
        <v>10</v>
      </c>
      <c r="E538" s="350" t="s">
        <v>1243</v>
      </c>
      <c r="F538" s="51" t="s">
        <v>154</v>
      </c>
      <c r="G538" s="351" t="s">
        <v>682</v>
      </c>
      <c r="H538" s="351" t="s">
        <v>2452</v>
      </c>
      <c r="I538" s="351" t="s">
        <v>2453</v>
      </c>
      <c r="J538" s="351" t="s">
        <v>4238</v>
      </c>
      <c r="K538" s="354">
        <v>11975</v>
      </c>
      <c r="L538" s="355">
        <v>9545</v>
      </c>
      <c r="M538" s="354">
        <v>10673</v>
      </c>
      <c r="N538" s="355">
        <v>25962</v>
      </c>
      <c r="O538" s="355">
        <v>58750</v>
      </c>
      <c r="P538" s="355">
        <v>105346</v>
      </c>
      <c r="Q538" s="355">
        <v>14486</v>
      </c>
      <c r="R538" s="355">
        <v>2663</v>
      </c>
      <c r="S538" s="355">
        <v>2484</v>
      </c>
      <c r="T538" s="355">
        <v>2964</v>
      </c>
      <c r="U538" s="59">
        <f t="shared" si="49"/>
        <v>2484</v>
      </c>
      <c r="V538" s="59">
        <f t="shared" si="50"/>
        <v>105346</v>
      </c>
      <c r="W538" s="59">
        <f t="shared" si="51"/>
        <v>24484.8</v>
      </c>
      <c r="X538" s="60">
        <f t="shared" si="52"/>
        <v>24.751565762004173</v>
      </c>
      <c r="AC538" s="53"/>
      <c r="AL538" s="65">
        <f>_xlfn.IFERROR(INDEX('Tabela PW'!$T:$T,'Słownik PW'!C538,1),"")</f>
        <v>2964</v>
      </c>
    </row>
    <row r="539" spans="1:38" ht="15">
      <c r="A539" s="4" t="s">
        <v>511</v>
      </c>
      <c r="B539" s="5" t="s">
        <v>666</v>
      </c>
      <c r="C539" s="49" t="s">
        <v>535</v>
      </c>
      <c r="D539" s="349">
        <f t="shared" si="48"/>
        <v>75</v>
      </c>
      <c r="E539" s="350" t="s">
        <v>1244</v>
      </c>
      <c r="F539" s="51" t="s">
        <v>154</v>
      </c>
      <c r="G539" s="351" t="s">
        <v>682</v>
      </c>
      <c r="H539" s="351" t="s">
        <v>2454</v>
      </c>
      <c r="I539" s="351" t="s">
        <v>2455</v>
      </c>
      <c r="J539" s="351" t="s">
        <v>4239</v>
      </c>
      <c r="K539" s="354">
        <v>1867047</v>
      </c>
      <c r="L539" s="355">
        <v>2065723</v>
      </c>
      <c r="M539" s="354">
        <v>2220651</v>
      </c>
      <c r="N539" s="355">
        <v>2884976</v>
      </c>
      <c r="O539" s="355">
        <v>3182645</v>
      </c>
      <c r="P539" s="355">
        <v>3348860</v>
      </c>
      <c r="Q539" s="355">
        <v>3157502</v>
      </c>
      <c r="R539" s="355">
        <v>3221819</v>
      </c>
      <c r="S539" s="355">
        <v>3220420</v>
      </c>
      <c r="T539" s="355">
        <v>3461606</v>
      </c>
      <c r="U539" s="59">
        <f t="shared" si="49"/>
        <v>1867047</v>
      </c>
      <c r="V539" s="59">
        <f t="shared" si="50"/>
        <v>3461606</v>
      </c>
      <c r="W539" s="59">
        <f t="shared" si="51"/>
        <v>2863124.9</v>
      </c>
      <c r="X539" s="60">
        <f t="shared" si="52"/>
        <v>185.4054022207261</v>
      </c>
      <c r="AC539" s="53"/>
      <c r="AL539" s="65">
        <f>_xlfn.IFERROR(INDEX('Tabela PW'!$T:$T,'Słownik PW'!C539,1),"")</f>
        <v>3461606</v>
      </c>
    </row>
    <row r="540" spans="1:38" ht="15">
      <c r="A540" s="4" t="s">
        <v>511</v>
      </c>
      <c r="B540" s="5" t="s">
        <v>666</v>
      </c>
      <c r="C540" s="49" t="s">
        <v>536</v>
      </c>
      <c r="D540" s="349">
        <f t="shared" si="48"/>
        <v>32</v>
      </c>
      <c r="E540" s="350" t="s">
        <v>1245</v>
      </c>
      <c r="F540" s="51" t="s">
        <v>154</v>
      </c>
      <c r="G540" s="351" t="s">
        <v>682</v>
      </c>
      <c r="H540" s="351" t="s">
        <v>2456</v>
      </c>
      <c r="I540" s="351" t="s">
        <v>2457</v>
      </c>
      <c r="J540" s="351" t="s">
        <v>4240</v>
      </c>
      <c r="K540" s="354">
        <v>2780105</v>
      </c>
      <c r="L540" s="355">
        <v>2966457</v>
      </c>
      <c r="M540" s="354">
        <v>3109983</v>
      </c>
      <c r="N540" s="355">
        <v>3471428</v>
      </c>
      <c r="O540" s="355">
        <v>3841792</v>
      </c>
      <c r="P540" s="355">
        <v>4309304</v>
      </c>
      <c r="Q540" s="355">
        <v>4695800</v>
      </c>
      <c r="R540" s="355">
        <v>4593061</v>
      </c>
      <c r="S540" s="355">
        <v>4418133</v>
      </c>
      <c r="T540" s="355">
        <v>4704039</v>
      </c>
      <c r="U540" s="59">
        <f t="shared" si="49"/>
        <v>2780105</v>
      </c>
      <c r="V540" s="59">
        <f t="shared" si="50"/>
        <v>4704039</v>
      </c>
      <c r="W540" s="59">
        <f t="shared" si="51"/>
        <v>3889010.2</v>
      </c>
      <c r="X540" s="60">
        <f t="shared" si="52"/>
        <v>169.2036451860631</v>
      </c>
      <c r="AC540" s="53"/>
      <c r="AL540" s="65">
        <f>_xlfn.IFERROR(INDEX('Tabela PW'!$T:$T,'Słownik PW'!C540,1),"")</f>
        <v>4704039</v>
      </c>
    </row>
    <row r="541" spans="1:38" ht="15">
      <c r="A541" s="4" t="s">
        <v>511</v>
      </c>
      <c r="B541" s="5" t="s">
        <v>666</v>
      </c>
      <c r="C541" s="49" t="s">
        <v>537</v>
      </c>
      <c r="D541" s="349">
        <f t="shared" si="48"/>
        <v>46</v>
      </c>
      <c r="E541" s="350" t="s">
        <v>1246</v>
      </c>
      <c r="F541" s="51" t="s">
        <v>154</v>
      </c>
      <c r="G541" s="351" t="s">
        <v>682</v>
      </c>
      <c r="H541" s="351" t="s">
        <v>2458</v>
      </c>
      <c r="I541" s="351" t="s">
        <v>2459</v>
      </c>
      <c r="J541" s="351" t="s">
        <v>4241</v>
      </c>
      <c r="K541" s="354">
        <v>4048333</v>
      </c>
      <c r="L541" s="355">
        <v>4389999</v>
      </c>
      <c r="M541" s="354">
        <v>4957224</v>
      </c>
      <c r="N541" s="355">
        <v>5636897</v>
      </c>
      <c r="O541" s="355">
        <v>6369678</v>
      </c>
      <c r="P541" s="355">
        <v>6509975</v>
      </c>
      <c r="Q541" s="355">
        <v>6476578</v>
      </c>
      <c r="R541" s="355">
        <v>6711872</v>
      </c>
      <c r="S541" s="355">
        <v>6704280</v>
      </c>
      <c r="T541" s="355">
        <v>6554732</v>
      </c>
      <c r="U541" s="59">
        <f t="shared" si="49"/>
        <v>4048333</v>
      </c>
      <c r="V541" s="59">
        <f t="shared" si="50"/>
        <v>6711872</v>
      </c>
      <c r="W541" s="59">
        <f t="shared" si="51"/>
        <v>5835956.8</v>
      </c>
      <c r="X541" s="60">
        <f t="shared" si="52"/>
        <v>161.91187829657295</v>
      </c>
      <c r="AC541" s="53"/>
      <c r="AL541" s="65">
        <f>_xlfn.IFERROR(INDEX('Tabela PW'!$T:$T,'Słownik PW'!C541,1),"")</f>
        <v>6554732</v>
      </c>
    </row>
    <row r="542" spans="1:38" ht="15">
      <c r="A542" s="4" t="s">
        <v>511</v>
      </c>
      <c r="B542" s="5" t="s">
        <v>666</v>
      </c>
      <c r="C542" s="49" t="s">
        <v>538</v>
      </c>
      <c r="D542" s="349">
        <f t="shared" si="48"/>
        <v>61</v>
      </c>
      <c r="E542" s="350" t="s">
        <v>1247</v>
      </c>
      <c r="F542" s="51" t="s">
        <v>154</v>
      </c>
      <c r="G542" s="351" t="s">
        <v>682</v>
      </c>
      <c r="H542" s="351" t="s">
        <v>2460</v>
      </c>
      <c r="I542" s="351" t="s">
        <v>2461</v>
      </c>
      <c r="J542" s="351" t="s">
        <v>4242</v>
      </c>
      <c r="K542" s="354">
        <v>4025081</v>
      </c>
      <c r="L542" s="355">
        <v>4371502</v>
      </c>
      <c r="M542" s="354">
        <v>4953105</v>
      </c>
      <c r="N542" s="355">
        <v>5633757</v>
      </c>
      <c r="O542" s="355">
        <v>6366184</v>
      </c>
      <c r="P542" s="355">
        <v>6509495</v>
      </c>
      <c r="Q542" s="355">
        <v>6476578</v>
      </c>
      <c r="R542" s="355">
        <v>6711872</v>
      </c>
      <c r="S542" s="355">
        <v>6704280</v>
      </c>
      <c r="T542" s="355">
        <v>6554732</v>
      </c>
      <c r="U542" s="59">
        <f t="shared" si="49"/>
        <v>4025081</v>
      </c>
      <c r="V542" s="59">
        <f t="shared" si="50"/>
        <v>6711872</v>
      </c>
      <c r="W542" s="59">
        <f t="shared" si="51"/>
        <v>5830658.6</v>
      </c>
      <c r="X542" s="60">
        <f t="shared" si="52"/>
        <v>162.84720729843698</v>
      </c>
      <c r="AC542" s="53"/>
      <c r="AL542" s="65">
        <f>_xlfn.IFERROR(INDEX('Tabela PW'!$T:$T,'Słownik PW'!C542,1),"")</f>
        <v>6554732</v>
      </c>
    </row>
    <row r="543" spans="1:38" ht="15">
      <c r="A543" s="4" t="s">
        <v>511</v>
      </c>
      <c r="B543" s="5" t="s">
        <v>666</v>
      </c>
      <c r="C543" s="49" t="s">
        <v>539</v>
      </c>
      <c r="D543" s="349">
        <f t="shared" si="48"/>
        <v>24</v>
      </c>
      <c r="E543" s="350" t="s">
        <v>1248</v>
      </c>
      <c r="F543" s="51" t="s">
        <v>154</v>
      </c>
      <c r="G543" s="351" t="s">
        <v>682</v>
      </c>
      <c r="H543" s="351" t="s">
        <v>2462</v>
      </c>
      <c r="I543" s="351" t="s">
        <v>2463</v>
      </c>
      <c r="J543" s="351" t="s">
        <v>4243</v>
      </c>
      <c r="K543" s="354">
        <v>892316</v>
      </c>
      <c r="L543" s="355">
        <v>1165024</v>
      </c>
      <c r="M543" s="354">
        <v>1068007</v>
      </c>
      <c r="N543" s="355">
        <v>972911</v>
      </c>
      <c r="O543" s="355">
        <v>1036417</v>
      </c>
      <c r="P543" s="355">
        <v>729393</v>
      </c>
      <c r="Q543" s="355">
        <v>746932</v>
      </c>
      <c r="R543" s="355">
        <v>1234253</v>
      </c>
      <c r="S543" s="355">
        <v>989291</v>
      </c>
      <c r="T543" s="355">
        <v>949246</v>
      </c>
      <c r="U543" s="59">
        <f t="shared" si="49"/>
        <v>729393</v>
      </c>
      <c r="V543" s="59">
        <f t="shared" si="50"/>
        <v>1234253</v>
      </c>
      <c r="W543" s="59">
        <f t="shared" si="51"/>
        <v>978379</v>
      </c>
      <c r="X543" s="60">
        <f t="shared" si="52"/>
        <v>106.38002680664698</v>
      </c>
      <c r="AC543" s="53"/>
      <c r="AL543" s="65">
        <f>_xlfn.IFERROR(INDEX('Tabela PW'!$T:$T,'Słownik PW'!C543,1),"")</f>
        <v>949246</v>
      </c>
    </row>
    <row r="544" spans="1:38" ht="15">
      <c r="A544" s="4" t="s">
        <v>511</v>
      </c>
      <c r="B544" s="5" t="s">
        <v>666</v>
      </c>
      <c r="C544" s="49" t="s">
        <v>540</v>
      </c>
      <c r="D544" s="349">
        <f t="shared" si="48"/>
        <v>35</v>
      </c>
      <c r="E544" s="350" t="s">
        <v>1249</v>
      </c>
      <c r="F544" s="51" t="s">
        <v>154</v>
      </c>
      <c r="G544" s="351" t="s">
        <v>682</v>
      </c>
      <c r="H544" s="351" t="s">
        <v>2464</v>
      </c>
      <c r="I544" s="351" t="s">
        <v>2465</v>
      </c>
      <c r="J544" s="351" t="s">
        <v>4244</v>
      </c>
      <c r="K544" s="354">
        <v>5460713</v>
      </c>
      <c r="L544" s="355">
        <v>5494993</v>
      </c>
      <c r="M544" s="354">
        <v>4893947</v>
      </c>
      <c r="N544" s="355">
        <v>4609990</v>
      </c>
      <c r="O544" s="355">
        <v>5314302</v>
      </c>
      <c r="P544" s="355">
        <v>4692226</v>
      </c>
      <c r="Q544" s="355">
        <v>3540647</v>
      </c>
      <c r="R544" s="355">
        <v>2654168</v>
      </c>
      <c r="S544" s="355">
        <v>1710607</v>
      </c>
      <c r="T544" s="355">
        <v>1388741</v>
      </c>
      <c r="U544" s="59">
        <f t="shared" si="49"/>
        <v>1388741</v>
      </c>
      <c r="V544" s="59">
        <f t="shared" si="50"/>
        <v>5494993</v>
      </c>
      <c r="W544" s="59">
        <f t="shared" si="51"/>
        <v>3976033.4</v>
      </c>
      <c r="X544" s="60">
        <f t="shared" si="52"/>
        <v>25.431495850450297</v>
      </c>
      <c r="AC544" s="53"/>
      <c r="AL544" s="65">
        <f>_xlfn.IFERROR(INDEX('Tabela PW'!$T:$T,'Słownik PW'!C544,1),"")</f>
        <v>1388741</v>
      </c>
    </row>
    <row r="545" spans="1:38" ht="15">
      <c r="A545" s="4" t="s">
        <v>511</v>
      </c>
      <c r="B545" s="5" t="s">
        <v>666</v>
      </c>
      <c r="C545" s="49" t="s">
        <v>541</v>
      </c>
      <c r="D545" s="349">
        <f t="shared" si="48"/>
        <v>20</v>
      </c>
      <c r="E545" s="350" t="s">
        <v>1250</v>
      </c>
      <c r="F545" s="51" t="s">
        <v>154</v>
      </c>
      <c r="G545" s="351" t="s">
        <v>682</v>
      </c>
      <c r="H545" s="351" t="s">
        <v>2466</v>
      </c>
      <c r="I545" s="351" t="s">
        <v>2467</v>
      </c>
      <c r="J545" s="351" t="s">
        <v>4245</v>
      </c>
      <c r="K545" s="354">
        <v>305299</v>
      </c>
      <c r="L545" s="355">
        <v>331443</v>
      </c>
      <c r="M545" s="354">
        <v>1838823</v>
      </c>
      <c r="N545" s="355">
        <v>1960785</v>
      </c>
      <c r="O545" s="355">
        <v>1512133</v>
      </c>
      <c r="P545" s="355">
        <v>1398927</v>
      </c>
      <c r="Q545" s="355">
        <v>1240567</v>
      </c>
      <c r="R545" s="355">
        <v>1151858</v>
      </c>
      <c r="S545" s="355">
        <v>1165682</v>
      </c>
      <c r="T545" s="355">
        <v>181670</v>
      </c>
      <c r="U545" s="59">
        <f t="shared" si="49"/>
        <v>181670</v>
      </c>
      <c r="V545" s="59">
        <f t="shared" si="50"/>
        <v>1960785</v>
      </c>
      <c r="W545" s="59">
        <f t="shared" si="51"/>
        <v>1108718.7</v>
      </c>
      <c r="X545" s="60">
        <f t="shared" si="52"/>
        <v>59.505599428756724</v>
      </c>
      <c r="AC545" s="53"/>
      <c r="AL545" s="65">
        <f>_xlfn.IFERROR(INDEX('Tabela PW'!$T:$T,'Słownik PW'!C545,1),"")</f>
        <v>181670</v>
      </c>
    </row>
    <row r="546" spans="1:38" ht="15">
      <c r="A546" s="4" t="s">
        <v>511</v>
      </c>
      <c r="B546" s="5" t="s">
        <v>666</v>
      </c>
      <c r="C546" s="49" t="s">
        <v>542</v>
      </c>
      <c r="D546" s="349">
        <f t="shared" si="48"/>
        <v>80</v>
      </c>
      <c r="E546" s="350" t="s">
        <v>1251</v>
      </c>
      <c r="F546" s="51" t="s">
        <v>154</v>
      </c>
      <c r="G546" s="351" t="s">
        <v>682</v>
      </c>
      <c r="H546" s="351" t="s">
        <v>2468</v>
      </c>
      <c r="I546" s="351" t="s">
        <v>2469</v>
      </c>
      <c r="J546" s="351" t="s">
        <v>4246</v>
      </c>
      <c r="K546" s="354">
        <v>273101</v>
      </c>
      <c r="L546" s="355">
        <v>243448</v>
      </c>
      <c r="M546" s="354">
        <v>236246</v>
      </c>
      <c r="N546" s="355">
        <v>422393</v>
      </c>
      <c r="O546" s="355">
        <v>407301</v>
      </c>
      <c r="P546" s="355">
        <v>420229</v>
      </c>
      <c r="Q546" s="355">
        <v>414510</v>
      </c>
      <c r="R546" s="355">
        <v>369755</v>
      </c>
      <c r="S546" s="355">
        <v>435174</v>
      </c>
      <c r="T546" s="355">
        <v>443637</v>
      </c>
      <c r="U546" s="59">
        <f t="shared" si="49"/>
        <v>236246</v>
      </c>
      <c r="V546" s="59">
        <f t="shared" si="50"/>
        <v>443637</v>
      </c>
      <c r="W546" s="59">
        <f t="shared" si="51"/>
        <v>366579.4</v>
      </c>
      <c r="X546" s="60">
        <f t="shared" si="52"/>
        <v>162.44429716478518</v>
      </c>
      <c r="AC546" s="53"/>
      <c r="AL546" s="65">
        <f>_xlfn.IFERROR(INDEX('Tabela PW'!$T:$T,'Słownik PW'!C546,1),"")</f>
        <v>443637</v>
      </c>
    </row>
    <row r="547" spans="1:38" ht="15">
      <c r="A547" s="4" t="s">
        <v>511</v>
      </c>
      <c r="B547" s="5" t="s">
        <v>666</v>
      </c>
      <c r="C547" s="49" t="s">
        <v>543</v>
      </c>
      <c r="D547" s="349">
        <f t="shared" si="48"/>
        <v>34</v>
      </c>
      <c r="E547" s="350" t="s">
        <v>1252</v>
      </c>
      <c r="F547" s="51" t="s">
        <v>154</v>
      </c>
      <c r="G547" s="351" t="s">
        <v>682</v>
      </c>
      <c r="H547" s="351" t="s">
        <v>2470</v>
      </c>
      <c r="I547" s="351" t="s">
        <v>2471</v>
      </c>
      <c r="J547" s="351" t="s">
        <v>4247</v>
      </c>
      <c r="K547" s="354">
        <v>3682</v>
      </c>
      <c r="L547" s="355">
        <v>3592</v>
      </c>
      <c r="M547" s="354">
        <v>3037</v>
      </c>
      <c r="N547" s="355">
        <v>3305</v>
      </c>
      <c r="O547" s="355">
        <v>2821</v>
      </c>
      <c r="P547" s="355">
        <v>4213</v>
      </c>
      <c r="Q547" s="355">
        <v>5276</v>
      </c>
      <c r="R547" s="355">
        <v>895</v>
      </c>
      <c r="S547" s="355">
        <v>801</v>
      </c>
      <c r="T547" s="355">
        <v>861</v>
      </c>
      <c r="U547" s="59">
        <f t="shared" si="49"/>
        <v>801</v>
      </c>
      <c r="V547" s="59">
        <f t="shared" si="50"/>
        <v>5276</v>
      </c>
      <c r="W547" s="59">
        <f t="shared" si="51"/>
        <v>2848.3</v>
      </c>
      <c r="X547" s="60">
        <f t="shared" si="52"/>
        <v>23.38403041825095</v>
      </c>
      <c r="AC547" s="53"/>
      <c r="AL547" s="65">
        <f>_xlfn.IFERROR(INDEX('Tabela PW'!$T:$T,'Słownik PW'!C547,1),"")</f>
        <v>861</v>
      </c>
    </row>
    <row r="548" spans="1:38" ht="15">
      <c r="A548" s="4" t="s">
        <v>511</v>
      </c>
      <c r="B548" s="5" t="s">
        <v>666</v>
      </c>
      <c r="C548" s="49" t="s">
        <v>544</v>
      </c>
      <c r="D548" s="349">
        <f t="shared" si="48"/>
        <v>68</v>
      </c>
      <c r="E548" s="350" t="s">
        <v>1253</v>
      </c>
      <c r="F548" s="51" t="s">
        <v>154</v>
      </c>
      <c r="G548" s="351" t="s">
        <v>682</v>
      </c>
      <c r="H548" s="351" t="s">
        <v>2472</v>
      </c>
      <c r="I548" s="351" t="s">
        <v>2473</v>
      </c>
      <c r="J548" s="351" t="s">
        <v>4248</v>
      </c>
      <c r="K548" s="354">
        <v>1214197</v>
      </c>
      <c r="L548" s="355">
        <v>1405029</v>
      </c>
      <c r="M548" s="354">
        <v>1506838</v>
      </c>
      <c r="N548" s="355">
        <v>1366414</v>
      </c>
      <c r="O548" s="355">
        <v>1370514</v>
      </c>
      <c r="P548" s="355">
        <v>1360746</v>
      </c>
      <c r="Q548" s="355">
        <v>1342313</v>
      </c>
      <c r="R548" s="355">
        <v>1376936</v>
      </c>
      <c r="S548" s="355">
        <v>1351543</v>
      </c>
      <c r="T548" s="355">
        <v>1392048</v>
      </c>
      <c r="U548" s="59">
        <f t="shared" si="49"/>
        <v>1214197</v>
      </c>
      <c r="V548" s="59">
        <f t="shared" si="50"/>
        <v>1506838</v>
      </c>
      <c r="W548" s="59">
        <f t="shared" si="51"/>
        <v>1368657.8</v>
      </c>
      <c r="X548" s="60">
        <f t="shared" si="52"/>
        <v>114.64762307928615</v>
      </c>
      <c r="AC548" s="53"/>
      <c r="AL548" s="65">
        <f>_xlfn.IFERROR(INDEX('Tabela PW'!$T:$T,'Słownik PW'!C548,1),"")</f>
        <v>1392048</v>
      </c>
    </row>
    <row r="549" spans="1:38" ht="15">
      <c r="A549" s="4" t="s">
        <v>511</v>
      </c>
      <c r="B549" s="5" t="s">
        <v>666</v>
      </c>
      <c r="C549" s="49" t="s">
        <v>545</v>
      </c>
      <c r="D549" s="349">
        <f t="shared" si="48"/>
        <v>38</v>
      </c>
      <c r="E549" s="350" t="s">
        <v>1254</v>
      </c>
      <c r="F549" s="51" t="s">
        <v>154</v>
      </c>
      <c r="G549" s="351" t="s">
        <v>682</v>
      </c>
      <c r="H549" s="351" t="s">
        <v>2474</v>
      </c>
      <c r="I549" s="351" t="s">
        <v>2475</v>
      </c>
      <c r="J549" s="351" t="s">
        <v>4249</v>
      </c>
      <c r="K549" s="354">
        <v>174831</v>
      </c>
      <c r="L549" s="355">
        <v>234963</v>
      </c>
      <c r="M549" s="354">
        <v>419589</v>
      </c>
      <c r="N549" s="355">
        <v>464736</v>
      </c>
      <c r="O549" s="366">
        <v>490833</v>
      </c>
      <c r="P549" s="366">
        <v>510539</v>
      </c>
      <c r="Q549" s="366">
        <v>485350</v>
      </c>
      <c r="R549" s="355">
        <v>392849</v>
      </c>
      <c r="S549" s="355">
        <v>314103</v>
      </c>
      <c r="T549" s="355">
        <v>339816</v>
      </c>
      <c r="U549" s="59">
        <f t="shared" si="49"/>
        <v>174831</v>
      </c>
      <c r="V549" s="59">
        <f t="shared" si="50"/>
        <v>510539</v>
      </c>
      <c r="W549" s="59">
        <f t="shared" si="51"/>
        <v>382760.9</v>
      </c>
      <c r="X549" s="60">
        <f t="shared" si="52"/>
        <v>194.36827564905536</v>
      </c>
      <c r="AC549" s="53"/>
      <c r="AL549" s="65">
        <f>_xlfn.IFERROR(INDEX('Tabela PW'!$T:$T,'Słownik PW'!C549,1),"")</f>
        <v>339816</v>
      </c>
    </row>
    <row r="550" spans="1:38" ht="15">
      <c r="A550" s="4" t="s">
        <v>511</v>
      </c>
      <c r="B550" s="5" t="s">
        <v>666</v>
      </c>
      <c r="C550" s="49" t="s">
        <v>546</v>
      </c>
      <c r="D550" s="349">
        <f t="shared" si="48"/>
        <v>43</v>
      </c>
      <c r="E550" s="350" t="s">
        <v>1255</v>
      </c>
      <c r="F550" s="51" t="s">
        <v>154</v>
      </c>
      <c r="G550" s="351" t="s">
        <v>682</v>
      </c>
      <c r="H550" s="351" t="s">
        <v>2476</v>
      </c>
      <c r="I550" s="351" t="s">
        <v>2477</v>
      </c>
      <c r="J550" s="351" t="s">
        <v>4250</v>
      </c>
      <c r="K550" s="354">
        <v>968145</v>
      </c>
      <c r="L550" s="355">
        <v>1086593</v>
      </c>
      <c r="M550" s="354">
        <v>1291730</v>
      </c>
      <c r="N550" s="355">
        <v>1580941</v>
      </c>
      <c r="O550" s="355">
        <v>1923937</v>
      </c>
      <c r="P550" s="355">
        <v>2210086</v>
      </c>
      <c r="Q550" s="355">
        <v>2447376</v>
      </c>
      <c r="R550" s="355">
        <v>2672377</v>
      </c>
      <c r="S550" s="355">
        <v>2775670</v>
      </c>
      <c r="T550" s="355">
        <v>3132043</v>
      </c>
      <c r="U550" s="59">
        <f t="shared" si="49"/>
        <v>968145</v>
      </c>
      <c r="V550" s="59">
        <f t="shared" si="50"/>
        <v>3132043</v>
      </c>
      <c r="W550" s="59">
        <f t="shared" si="51"/>
        <v>2008889.8</v>
      </c>
      <c r="X550" s="60">
        <f t="shared" si="52"/>
        <v>323.5097015426408</v>
      </c>
      <c r="AC550" s="53"/>
      <c r="AL550" s="65">
        <f>_xlfn.IFERROR(INDEX('Tabela PW'!$T:$T,'Słownik PW'!C550,1),"")</f>
        <v>3132043</v>
      </c>
    </row>
    <row r="551" spans="1:38" ht="15">
      <c r="A551" s="4" t="s">
        <v>511</v>
      </c>
      <c r="B551" s="5" t="s">
        <v>666</v>
      </c>
      <c r="C551" s="49" t="s">
        <v>547</v>
      </c>
      <c r="D551" s="349">
        <f t="shared" si="48"/>
        <v>71</v>
      </c>
      <c r="E551" s="350" t="s">
        <v>1256</v>
      </c>
      <c r="F551" s="51" t="s">
        <v>154</v>
      </c>
      <c r="G551" s="351" t="s">
        <v>682</v>
      </c>
      <c r="H551" s="351" t="s">
        <v>2478</v>
      </c>
      <c r="I551" s="351" t="s">
        <v>2479</v>
      </c>
      <c r="J551" s="351" t="s">
        <v>4251</v>
      </c>
      <c r="K551" s="354">
        <v>1233429</v>
      </c>
      <c r="L551" s="355">
        <v>1202349</v>
      </c>
      <c r="M551" s="354">
        <v>1143899</v>
      </c>
      <c r="N551" s="355">
        <v>1065719</v>
      </c>
      <c r="O551" s="355">
        <v>969675</v>
      </c>
      <c r="P551" s="355">
        <v>812779</v>
      </c>
      <c r="Q551" s="355">
        <v>456542</v>
      </c>
      <c r="R551" s="355">
        <v>472270</v>
      </c>
      <c r="S551" s="355">
        <v>425328</v>
      </c>
      <c r="T551" s="355">
        <v>408329</v>
      </c>
      <c r="U551" s="59">
        <f t="shared" si="49"/>
        <v>408329</v>
      </c>
      <c r="V551" s="59">
        <f t="shared" si="50"/>
        <v>1233429</v>
      </c>
      <c r="W551" s="59">
        <f t="shared" si="51"/>
        <v>819031.9</v>
      </c>
      <c r="X551" s="60">
        <f t="shared" si="52"/>
        <v>33.10518886778242</v>
      </c>
      <c r="AC551" s="53"/>
      <c r="AL551" s="65">
        <f>_xlfn.IFERROR(INDEX('Tabela PW'!$T:$T,'Słownik PW'!C551,1),"")</f>
        <v>408329</v>
      </c>
    </row>
    <row r="552" spans="1:38" ht="15">
      <c r="A552" s="4" t="s">
        <v>511</v>
      </c>
      <c r="B552" s="5" t="s">
        <v>666</v>
      </c>
      <c r="C552" s="49" t="s">
        <v>548</v>
      </c>
      <c r="D552" s="349">
        <f t="shared" si="48"/>
        <v>29</v>
      </c>
      <c r="E552" s="350" t="s">
        <v>1257</v>
      </c>
      <c r="F552" s="51" t="s">
        <v>154</v>
      </c>
      <c r="G552" s="351" t="s">
        <v>682</v>
      </c>
      <c r="H552" s="351" t="s">
        <v>2480</v>
      </c>
      <c r="I552" s="351" t="s">
        <v>2481</v>
      </c>
      <c r="J552" s="351" t="s">
        <v>4252</v>
      </c>
      <c r="K552" s="354">
        <v>645942</v>
      </c>
      <c r="L552" s="355">
        <v>651822</v>
      </c>
      <c r="M552" s="354">
        <v>623283</v>
      </c>
      <c r="N552" s="355">
        <v>580559</v>
      </c>
      <c r="O552" s="355">
        <v>554617</v>
      </c>
      <c r="P552" s="355">
        <v>455800</v>
      </c>
      <c r="Q552" s="355">
        <v>393071</v>
      </c>
      <c r="R552" s="355">
        <v>402379</v>
      </c>
      <c r="S552" s="355">
        <v>339564</v>
      </c>
      <c r="T552" s="355">
        <v>313909</v>
      </c>
      <c r="U552" s="59">
        <f t="shared" si="49"/>
        <v>313909</v>
      </c>
      <c r="V552" s="59">
        <f t="shared" si="50"/>
        <v>651822</v>
      </c>
      <c r="W552" s="59">
        <f t="shared" si="51"/>
        <v>496094.6</v>
      </c>
      <c r="X552" s="60">
        <f t="shared" si="52"/>
        <v>48.59708766421753</v>
      </c>
      <c r="AC552" s="53"/>
      <c r="AL552" s="65">
        <f>_xlfn.IFERROR(INDEX('Tabela PW'!$T:$T,'Słownik PW'!C552,1),"")</f>
        <v>313909</v>
      </c>
    </row>
    <row r="553" spans="1:38" ht="15">
      <c r="A553" s="4" t="s">
        <v>511</v>
      </c>
      <c r="B553" s="5" t="s">
        <v>666</v>
      </c>
      <c r="C553" s="49" t="s">
        <v>549</v>
      </c>
      <c r="D553" s="349">
        <f t="shared" si="48"/>
        <v>14</v>
      </c>
      <c r="E553" s="350" t="s">
        <v>1258</v>
      </c>
      <c r="F553" s="51" t="s">
        <v>154</v>
      </c>
      <c r="G553" s="351" t="s">
        <v>682</v>
      </c>
      <c r="H553" s="351" t="s">
        <v>2482</v>
      </c>
      <c r="I553" s="351" t="s">
        <v>2483</v>
      </c>
      <c r="J553" s="351" t="s">
        <v>4253</v>
      </c>
      <c r="K553" s="354">
        <v>56925</v>
      </c>
      <c r="L553" s="355">
        <v>58922</v>
      </c>
      <c r="M553" s="354">
        <v>55104</v>
      </c>
      <c r="N553" s="355">
        <v>50756</v>
      </c>
      <c r="O553" s="355">
        <v>44949</v>
      </c>
      <c r="P553" s="355">
        <v>45731</v>
      </c>
      <c r="Q553" s="355">
        <v>41967</v>
      </c>
      <c r="R553" s="355">
        <v>37240</v>
      </c>
      <c r="S553" s="355">
        <v>36115</v>
      </c>
      <c r="T553" s="355">
        <v>32104</v>
      </c>
      <c r="U553" s="59">
        <f t="shared" si="49"/>
        <v>32104</v>
      </c>
      <c r="V553" s="59">
        <f t="shared" si="50"/>
        <v>58922</v>
      </c>
      <c r="W553" s="59">
        <f t="shared" si="51"/>
        <v>45981.3</v>
      </c>
      <c r="X553" s="60">
        <f t="shared" si="52"/>
        <v>56.397013614404926</v>
      </c>
      <c r="AC553" s="53"/>
      <c r="AL553" s="65">
        <f>_xlfn.IFERROR(INDEX('Tabela PW'!$T:$T,'Słownik PW'!C553,1),"")</f>
        <v>32104</v>
      </c>
    </row>
    <row r="554" spans="1:38" ht="15">
      <c r="A554" s="4" t="s">
        <v>511</v>
      </c>
      <c r="B554" s="5" t="s">
        <v>666</v>
      </c>
      <c r="C554" s="49" t="s">
        <v>550</v>
      </c>
      <c r="D554" s="349">
        <f t="shared" si="48"/>
        <v>18</v>
      </c>
      <c r="E554" s="350" t="s">
        <v>1259</v>
      </c>
      <c r="F554" s="51" t="s">
        <v>154</v>
      </c>
      <c r="G554" s="351" t="s">
        <v>682</v>
      </c>
      <c r="H554" s="351" t="s">
        <v>2484</v>
      </c>
      <c r="I554" s="351" t="s">
        <v>2485</v>
      </c>
      <c r="J554" s="351" t="s">
        <v>4254</v>
      </c>
      <c r="K554" s="354">
        <v>19870544</v>
      </c>
      <c r="L554" s="355">
        <v>15412980</v>
      </c>
      <c r="M554" s="354">
        <v>11578220</v>
      </c>
      <c r="N554" s="355">
        <v>9939707</v>
      </c>
      <c r="O554" s="355">
        <v>8732146</v>
      </c>
      <c r="P554" s="355">
        <v>7751446</v>
      </c>
      <c r="Q554" s="355">
        <v>6366926</v>
      </c>
      <c r="R554" s="355">
        <v>6830822</v>
      </c>
      <c r="S554" s="355">
        <v>7849785</v>
      </c>
      <c r="T554" s="355">
        <v>6940171</v>
      </c>
      <c r="U554" s="59">
        <f t="shared" si="49"/>
        <v>6366926</v>
      </c>
      <c r="V554" s="59">
        <f t="shared" si="50"/>
        <v>19870544</v>
      </c>
      <c r="W554" s="59">
        <f t="shared" si="51"/>
        <v>10127274.7</v>
      </c>
      <c r="X554" s="60">
        <f t="shared" si="52"/>
        <v>34.92693003271577</v>
      </c>
      <c r="AC554" s="53"/>
      <c r="AL554" s="65">
        <f>_xlfn.IFERROR(INDEX('Tabela PW'!$T:$T,'Słownik PW'!C554,1),"")</f>
        <v>6940171</v>
      </c>
    </row>
    <row r="555" spans="1:38" ht="15">
      <c r="A555" s="4" t="s">
        <v>511</v>
      </c>
      <c r="B555" s="5" t="s">
        <v>666</v>
      </c>
      <c r="C555" s="49" t="s">
        <v>551</v>
      </c>
      <c r="D555" s="349">
        <f t="shared" si="48"/>
        <v>15</v>
      </c>
      <c r="E555" s="350" t="s">
        <v>1260</v>
      </c>
      <c r="F555" s="51" t="s">
        <v>154</v>
      </c>
      <c r="G555" s="351" t="s">
        <v>682</v>
      </c>
      <c r="H555" s="351" t="s">
        <v>2486</v>
      </c>
      <c r="I555" s="351" t="s">
        <v>2487</v>
      </c>
      <c r="J555" s="351" t="s">
        <v>4255</v>
      </c>
      <c r="K555" s="354">
        <v>1014091</v>
      </c>
      <c r="L555" s="355">
        <v>697612</v>
      </c>
      <c r="M555" s="354">
        <v>570005</v>
      </c>
      <c r="N555" s="355">
        <v>453910</v>
      </c>
      <c r="O555" s="355">
        <v>232877</v>
      </c>
      <c r="P555" s="355">
        <v>4426505</v>
      </c>
      <c r="Q555" s="355">
        <v>7216631</v>
      </c>
      <c r="R555" s="355">
        <v>9285151</v>
      </c>
      <c r="S555" s="355">
        <v>10650689</v>
      </c>
      <c r="T555" s="355">
        <v>11594518</v>
      </c>
      <c r="U555" s="59">
        <f t="shared" si="49"/>
        <v>232877</v>
      </c>
      <c r="V555" s="59">
        <f t="shared" si="50"/>
        <v>11594518</v>
      </c>
      <c r="W555" s="59">
        <f t="shared" si="51"/>
        <v>4614198.9</v>
      </c>
      <c r="X555" s="60">
        <f t="shared" si="52"/>
        <v>1143.3409822195445</v>
      </c>
      <c r="AC555" s="53"/>
      <c r="AL555" s="65">
        <f>_xlfn.IFERROR(INDEX('Tabela PW'!$T:$T,'Słownik PW'!C555,1),"")</f>
        <v>11594518</v>
      </c>
    </row>
    <row r="556" spans="1:38" ht="15">
      <c r="A556" s="4" t="s">
        <v>552</v>
      </c>
      <c r="B556" s="5" t="s">
        <v>668</v>
      </c>
      <c r="C556" s="49" t="s">
        <v>553</v>
      </c>
      <c r="D556" s="349">
        <f t="shared" si="48"/>
        <v>71</v>
      </c>
      <c r="E556" s="350" t="s">
        <v>1261</v>
      </c>
      <c r="F556" s="51" t="s">
        <v>516</v>
      </c>
      <c r="G556" s="351" t="s">
        <v>677</v>
      </c>
      <c r="H556" s="351" t="s">
        <v>2488</v>
      </c>
      <c r="I556" s="351" t="s">
        <v>2489</v>
      </c>
      <c r="J556" s="351" t="s">
        <v>4256</v>
      </c>
      <c r="K556" s="354">
        <v>135045</v>
      </c>
      <c r="L556" s="355">
        <v>51997</v>
      </c>
      <c r="M556" s="354">
        <v>115941</v>
      </c>
      <c r="N556" s="355">
        <v>42158</v>
      </c>
      <c r="O556" s="355">
        <v>40424</v>
      </c>
      <c r="P556" s="355">
        <v>22803</v>
      </c>
      <c r="Q556" s="355">
        <v>42630</v>
      </c>
      <c r="R556" s="355">
        <v>29805</v>
      </c>
      <c r="S556" s="355">
        <v>35795</v>
      </c>
      <c r="T556" s="355">
        <v>27182</v>
      </c>
      <c r="U556" s="59">
        <f t="shared" si="49"/>
        <v>22803</v>
      </c>
      <c r="V556" s="59">
        <f t="shared" si="50"/>
        <v>135045</v>
      </c>
      <c r="W556" s="59">
        <f t="shared" si="51"/>
        <v>54378</v>
      </c>
      <c r="X556" s="60">
        <f t="shared" si="52"/>
        <v>20.128105446332704</v>
      </c>
      <c r="AC556" s="53"/>
      <c r="AL556" s="65">
        <f>_xlfn.IFERROR(INDEX('Tabela PW'!$T:$T,'Słownik PW'!C556,1),"")</f>
        <v>27182</v>
      </c>
    </row>
    <row r="557" spans="1:38" ht="15">
      <c r="A557" s="4" t="s">
        <v>552</v>
      </c>
      <c r="B557" s="5" t="s">
        <v>668</v>
      </c>
      <c r="C557" s="49" t="s">
        <v>553</v>
      </c>
      <c r="D557" s="349">
        <f t="shared" si="48"/>
        <v>71</v>
      </c>
      <c r="E557" s="350" t="s">
        <v>1262</v>
      </c>
      <c r="F557" s="51" t="s">
        <v>154</v>
      </c>
      <c r="G557" s="351" t="s">
        <v>682</v>
      </c>
      <c r="H557" s="351" t="s">
        <v>2490</v>
      </c>
      <c r="I557" s="351" t="s">
        <v>2491</v>
      </c>
      <c r="J557" s="351" t="s">
        <v>4257</v>
      </c>
      <c r="K557" s="354">
        <v>844</v>
      </c>
      <c r="L557" s="355">
        <v>1215</v>
      </c>
      <c r="M557" s="354">
        <v>962</v>
      </c>
      <c r="N557" s="355">
        <v>754</v>
      </c>
      <c r="O557" s="355">
        <v>888</v>
      </c>
      <c r="P557" s="355">
        <v>761</v>
      </c>
      <c r="Q557" s="355">
        <v>1196</v>
      </c>
      <c r="R557" s="355">
        <v>1549</v>
      </c>
      <c r="S557" s="355">
        <v>1562</v>
      </c>
      <c r="T557" s="355">
        <v>1387</v>
      </c>
      <c r="U557" s="59">
        <f t="shared" si="49"/>
        <v>754</v>
      </c>
      <c r="V557" s="59">
        <f t="shared" si="50"/>
        <v>1562</v>
      </c>
      <c r="W557" s="59">
        <f t="shared" si="51"/>
        <v>1111.8</v>
      </c>
      <c r="X557" s="60">
        <f t="shared" si="52"/>
        <v>164.33649289099526</v>
      </c>
      <c r="AC557" s="53"/>
      <c r="AL557" s="65">
        <f>_xlfn.IFERROR(INDEX('Tabela PW'!$T:$T,'Słownik PW'!C557,1),"")</f>
        <v>1387</v>
      </c>
    </row>
    <row r="558" spans="1:38" ht="15">
      <c r="A558" s="4" t="s">
        <v>552</v>
      </c>
      <c r="B558" s="5" t="s">
        <v>668</v>
      </c>
      <c r="C558" s="49" t="s">
        <v>554</v>
      </c>
      <c r="D558" s="349">
        <f t="shared" si="48"/>
        <v>54</v>
      </c>
      <c r="E558" s="350" t="s">
        <v>1263</v>
      </c>
      <c r="F558" s="51" t="s">
        <v>516</v>
      </c>
      <c r="G558" s="351" t="s">
        <v>677</v>
      </c>
      <c r="H558" s="351" t="s">
        <v>2492</v>
      </c>
      <c r="I558" s="351" t="s">
        <v>2493</v>
      </c>
      <c r="J558" s="351" t="s">
        <v>4258</v>
      </c>
      <c r="K558" s="354">
        <v>52175</v>
      </c>
      <c r="L558" s="355">
        <v>51997</v>
      </c>
      <c r="M558" s="354">
        <v>115941</v>
      </c>
      <c r="N558" s="355">
        <v>42158</v>
      </c>
      <c r="O558" s="355">
        <v>40424</v>
      </c>
      <c r="P558" s="355">
        <v>22803</v>
      </c>
      <c r="Q558" s="355">
        <v>42630</v>
      </c>
      <c r="R558" s="355">
        <v>29805</v>
      </c>
      <c r="S558" s="355">
        <v>35795</v>
      </c>
      <c r="T558" s="355">
        <v>27182</v>
      </c>
      <c r="U558" s="59">
        <f t="shared" si="49"/>
        <v>22803</v>
      </c>
      <c r="V558" s="59">
        <f t="shared" si="50"/>
        <v>115941</v>
      </c>
      <c r="W558" s="59">
        <f t="shared" si="51"/>
        <v>46091</v>
      </c>
      <c r="X558" s="60">
        <f t="shared" si="52"/>
        <v>52.0977479635841</v>
      </c>
      <c r="AC558" s="53"/>
      <c r="AL558" s="65">
        <f>_xlfn.IFERROR(INDEX('Tabela PW'!$T:$T,'Słownik PW'!C558,1),"")</f>
        <v>27182</v>
      </c>
    </row>
    <row r="559" spans="1:38" ht="15">
      <c r="A559" s="4" t="s">
        <v>552</v>
      </c>
      <c r="B559" s="5" t="s">
        <v>668</v>
      </c>
      <c r="C559" s="49" t="s">
        <v>554</v>
      </c>
      <c r="D559" s="349">
        <f t="shared" si="48"/>
        <v>54</v>
      </c>
      <c r="E559" s="350" t="s">
        <v>1264</v>
      </c>
      <c r="F559" s="51" t="s">
        <v>154</v>
      </c>
      <c r="G559" s="351" t="s">
        <v>682</v>
      </c>
      <c r="H559" s="351" t="s">
        <v>2494</v>
      </c>
      <c r="I559" s="351" t="s">
        <v>2495</v>
      </c>
      <c r="J559" s="351" t="s">
        <v>4259</v>
      </c>
      <c r="K559" s="354">
        <v>837</v>
      </c>
      <c r="L559" s="355">
        <v>1215</v>
      </c>
      <c r="M559" s="354">
        <v>962</v>
      </c>
      <c r="N559" s="355">
        <v>754</v>
      </c>
      <c r="O559" s="355">
        <v>888</v>
      </c>
      <c r="P559" s="355">
        <v>761</v>
      </c>
      <c r="Q559" s="355">
        <v>1196</v>
      </c>
      <c r="R559" s="355">
        <v>1549</v>
      </c>
      <c r="S559" s="355">
        <v>1562</v>
      </c>
      <c r="T559" s="355">
        <v>1387</v>
      </c>
      <c r="U559" s="59">
        <f t="shared" si="49"/>
        <v>754</v>
      </c>
      <c r="V559" s="59">
        <f t="shared" si="50"/>
        <v>1562</v>
      </c>
      <c r="W559" s="59">
        <f t="shared" si="51"/>
        <v>1111.1</v>
      </c>
      <c r="X559" s="60">
        <f t="shared" si="52"/>
        <v>165.71087216248506</v>
      </c>
      <c r="AC559" s="53"/>
      <c r="AL559" s="65">
        <f>_xlfn.IFERROR(INDEX('Tabela PW'!$T:$T,'Słownik PW'!C559,1),"")</f>
        <v>1387</v>
      </c>
    </row>
    <row r="560" spans="1:38" ht="15">
      <c r="A560" s="4" t="s">
        <v>552</v>
      </c>
      <c r="B560" s="5" t="s">
        <v>668</v>
      </c>
      <c r="C560" s="49" t="s">
        <v>555</v>
      </c>
      <c r="D560" s="349">
        <f t="shared" si="48"/>
        <v>16</v>
      </c>
      <c r="E560" s="350" t="s">
        <v>1265</v>
      </c>
      <c r="F560" s="51" t="s">
        <v>516</v>
      </c>
      <c r="G560" s="351" t="s">
        <v>677</v>
      </c>
      <c r="H560" s="351" t="s">
        <v>2496</v>
      </c>
      <c r="I560" s="351" t="s">
        <v>2497</v>
      </c>
      <c r="J560" s="351" t="s">
        <v>4260</v>
      </c>
      <c r="K560" s="354">
        <v>121110</v>
      </c>
      <c r="L560" s="355">
        <v>32910</v>
      </c>
      <c r="M560" s="354">
        <v>99640</v>
      </c>
      <c r="N560" s="356" t="s">
        <v>4569</v>
      </c>
      <c r="O560" s="356" t="s">
        <v>4569</v>
      </c>
      <c r="P560" s="356" t="s">
        <v>4569</v>
      </c>
      <c r="Q560" s="356" t="s">
        <v>4569</v>
      </c>
      <c r="R560" s="355" t="s">
        <v>4569</v>
      </c>
      <c r="S560" s="355" t="s">
        <v>4569</v>
      </c>
      <c r="T560" s="355" t="s">
        <v>4569</v>
      </c>
      <c r="U560" s="59">
        <f t="shared" si="49"/>
        <v>32910</v>
      </c>
      <c r="V560" s="59">
        <f t="shared" si="50"/>
        <v>121110</v>
      </c>
      <c r="W560" s="59">
        <f t="shared" si="51"/>
        <v>84553.33333333333</v>
      </c>
      <c r="X560" s="60" t="str">
        <f t="shared" si="52"/>
        <v>-</v>
      </c>
      <c r="AC560" s="53"/>
      <c r="AL560" s="65" t="str">
        <f>_xlfn.IFERROR(INDEX('Tabela PW'!$T:$T,'Słownik PW'!C560,1),"")</f>
        <v>—</v>
      </c>
    </row>
    <row r="561" spans="1:38" ht="15">
      <c r="A561" s="4" t="s">
        <v>552</v>
      </c>
      <c r="B561" s="5" t="s">
        <v>668</v>
      </c>
      <c r="C561" s="49" t="s">
        <v>555</v>
      </c>
      <c r="D561" s="349">
        <f t="shared" si="48"/>
        <v>16</v>
      </c>
      <c r="E561" s="350" t="s">
        <v>1266</v>
      </c>
      <c r="F561" s="51" t="s">
        <v>154</v>
      </c>
      <c r="G561" s="351" t="s">
        <v>682</v>
      </c>
      <c r="H561" s="351" t="s">
        <v>2498</v>
      </c>
      <c r="I561" s="351" t="s">
        <v>2499</v>
      </c>
      <c r="J561" s="351" t="s">
        <v>4261</v>
      </c>
      <c r="K561" s="354">
        <v>36</v>
      </c>
      <c r="L561" s="355">
        <v>19</v>
      </c>
      <c r="M561" s="354">
        <v>37</v>
      </c>
      <c r="N561" s="356" t="s">
        <v>4569</v>
      </c>
      <c r="O561" s="356" t="s">
        <v>4569</v>
      </c>
      <c r="P561" s="356" t="s">
        <v>4569</v>
      </c>
      <c r="Q561" s="356" t="s">
        <v>4569</v>
      </c>
      <c r="R561" s="355" t="s">
        <v>4569</v>
      </c>
      <c r="S561" s="355" t="s">
        <v>4569</v>
      </c>
      <c r="T561" s="355" t="s">
        <v>4569</v>
      </c>
      <c r="U561" s="59">
        <f t="shared" si="49"/>
        <v>19</v>
      </c>
      <c r="V561" s="59">
        <f t="shared" si="50"/>
        <v>37</v>
      </c>
      <c r="W561" s="59">
        <f t="shared" si="51"/>
        <v>30.666666666666668</v>
      </c>
      <c r="X561" s="60" t="str">
        <f t="shared" si="52"/>
        <v>-</v>
      </c>
      <c r="AC561" s="53"/>
      <c r="AL561" s="65" t="str">
        <f>_xlfn.IFERROR(INDEX('Tabela PW'!$T:$T,'Słownik PW'!C561,1),"")</f>
        <v>—</v>
      </c>
    </row>
    <row r="562" spans="1:38" ht="15">
      <c r="A562" s="4" t="s">
        <v>552</v>
      </c>
      <c r="B562" s="5" t="s">
        <v>668</v>
      </c>
      <c r="C562" s="49" t="s">
        <v>556</v>
      </c>
      <c r="D562" s="349">
        <f t="shared" si="48"/>
        <v>55</v>
      </c>
      <c r="E562" s="350" t="s">
        <v>1267</v>
      </c>
      <c r="F562" s="51" t="s">
        <v>154</v>
      </c>
      <c r="G562" s="351" t="s">
        <v>682</v>
      </c>
      <c r="H562" s="351" t="s">
        <v>2500</v>
      </c>
      <c r="I562" s="351" t="s">
        <v>2501</v>
      </c>
      <c r="J562" s="351" t="s">
        <v>4262</v>
      </c>
      <c r="K562" s="354">
        <v>216</v>
      </c>
      <c r="L562" s="355">
        <v>209</v>
      </c>
      <c r="M562" s="354">
        <v>359</v>
      </c>
      <c r="N562" s="355">
        <v>400</v>
      </c>
      <c r="O562" s="355">
        <v>572</v>
      </c>
      <c r="P562" s="355">
        <v>348</v>
      </c>
      <c r="Q562" s="355">
        <v>154</v>
      </c>
      <c r="R562" s="355">
        <v>336</v>
      </c>
      <c r="S562" s="355">
        <v>640</v>
      </c>
      <c r="T562" s="355">
        <v>313</v>
      </c>
      <c r="U562" s="59">
        <f t="shared" si="49"/>
        <v>154</v>
      </c>
      <c r="V562" s="59">
        <f t="shared" si="50"/>
        <v>640</v>
      </c>
      <c r="W562" s="59">
        <f t="shared" si="51"/>
        <v>354.7</v>
      </c>
      <c r="X562" s="60">
        <f t="shared" si="52"/>
        <v>144.90740740740742</v>
      </c>
      <c r="AC562" s="53"/>
      <c r="AL562" s="65">
        <f>_xlfn.IFERROR(INDEX('Tabela PW'!$T:$T,'Słownik PW'!C562,1),"")</f>
        <v>313</v>
      </c>
    </row>
    <row r="563" spans="1:38" ht="15">
      <c r="A563" s="4" t="s">
        <v>552</v>
      </c>
      <c r="B563" s="5" t="s">
        <v>668</v>
      </c>
      <c r="C563" s="49" t="s">
        <v>557</v>
      </c>
      <c r="D563" s="349">
        <f t="shared" si="48"/>
        <v>33</v>
      </c>
      <c r="E563" s="350" t="s">
        <v>1268</v>
      </c>
      <c r="F563" s="51" t="s">
        <v>154</v>
      </c>
      <c r="G563" s="351" t="s">
        <v>682</v>
      </c>
      <c r="H563" s="351" t="s">
        <v>2502</v>
      </c>
      <c r="I563" s="351" t="s">
        <v>2503</v>
      </c>
      <c r="J563" s="351" t="s">
        <v>4263</v>
      </c>
      <c r="K563" s="354">
        <v>107561</v>
      </c>
      <c r="L563" s="355">
        <v>109085</v>
      </c>
      <c r="M563" s="354">
        <v>100170</v>
      </c>
      <c r="N563" s="355">
        <v>100243</v>
      </c>
      <c r="O563" s="355">
        <v>95382</v>
      </c>
      <c r="P563" s="355">
        <v>93360</v>
      </c>
      <c r="Q563" s="355">
        <v>89479</v>
      </c>
      <c r="R563" s="355">
        <v>86931</v>
      </c>
      <c r="S563" s="355">
        <v>169788</v>
      </c>
      <c r="T563" s="355">
        <v>149844</v>
      </c>
      <c r="U563" s="59">
        <f t="shared" si="49"/>
        <v>86931</v>
      </c>
      <c r="V563" s="59">
        <f t="shared" si="50"/>
        <v>169788</v>
      </c>
      <c r="W563" s="59">
        <f t="shared" si="51"/>
        <v>110184.3</v>
      </c>
      <c r="X563" s="60">
        <f t="shared" si="52"/>
        <v>139.31071670958806</v>
      </c>
      <c r="AC563" s="53"/>
      <c r="AL563" s="65">
        <f>_xlfn.IFERROR(INDEX('Tabela PW'!$T:$T,'Słownik PW'!C563,1),"")</f>
        <v>149844</v>
      </c>
    </row>
    <row r="564" spans="1:38" ht="15">
      <c r="A564" s="4" t="s">
        <v>552</v>
      </c>
      <c r="B564" s="5" t="s">
        <v>668</v>
      </c>
      <c r="C564" s="49" t="s">
        <v>558</v>
      </c>
      <c r="D564" s="349">
        <f t="shared" si="48"/>
        <v>9</v>
      </c>
      <c r="E564" s="350" t="s">
        <v>1269</v>
      </c>
      <c r="F564" s="51" t="s">
        <v>154</v>
      </c>
      <c r="G564" s="351" t="s">
        <v>682</v>
      </c>
      <c r="H564" s="351" t="s">
        <v>2504</v>
      </c>
      <c r="I564" s="351" t="s">
        <v>2505</v>
      </c>
      <c r="J564" s="351" t="s">
        <v>4264</v>
      </c>
      <c r="K564" s="354">
        <v>1461</v>
      </c>
      <c r="L564" s="355">
        <v>586</v>
      </c>
      <c r="M564" s="354">
        <v>1188</v>
      </c>
      <c r="N564" s="355">
        <v>1166</v>
      </c>
      <c r="O564" s="355">
        <v>1056</v>
      </c>
      <c r="P564" s="355">
        <v>1079</v>
      </c>
      <c r="Q564" s="355">
        <v>1120</v>
      </c>
      <c r="R564" s="355">
        <v>1090</v>
      </c>
      <c r="S564" s="355">
        <v>1105</v>
      </c>
      <c r="T564" s="355" t="s">
        <v>4602</v>
      </c>
      <c r="U564" s="59">
        <f t="shared" si="49"/>
        <v>586</v>
      </c>
      <c r="V564" s="59">
        <f t="shared" si="50"/>
        <v>1461</v>
      </c>
      <c r="W564" s="59">
        <f t="shared" si="51"/>
        <v>1094.5555555555557</v>
      </c>
      <c r="X564" s="60" t="str">
        <f t="shared" si="52"/>
        <v>-</v>
      </c>
      <c r="AC564" s="53"/>
      <c r="AL564" s="65" t="str">
        <f>_xlfn.IFERROR(INDEX('Tabela PW'!$T:$T,'Słownik PW'!C564,1),"")</f>
        <v>x</v>
      </c>
    </row>
    <row r="565" spans="1:38" ht="15">
      <c r="A565" s="4" t="s">
        <v>552</v>
      </c>
      <c r="B565" s="5" t="s">
        <v>668</v>
      </c>
      <c r="C565" s="49" t="s">
        <v>559</v>
      </c>
      <c r="D565" s="349">
        <f t="shared" si="48"/>
        <v>15</v>
      </c>
      <c r="E565" s="350" t="s">
        <v>1270</v>
      </c>
      <c r="F565" s="51" t="s">
        <v>154</v>
      </c>
      <c r="G565" s="351" t="s">
        <v>682</v>
      </c>
      <c r="H565" s="351" t="s">
        <v>2506</v>
      </c>
      <c r="I565" s="351" t="s">
        <v>2507</v>
      </c>
      <c r="J565" s="351" t="s">
        <v>4265</v>
      </c>
      <c r="K565" s="354">
        <v>1100</v>
      </c>
      <c r="L565" s="355">
        <v>1168</v>
      </c>
      <c r="M565" s="354">
        <v>928</v>
      </c>
      <c r="N565" s="355">
        <v>885</v>
      </c>
      <c r="O565" s="355">
        <v>987</v>
      </c>
      <c r="P565" s="355">
        <v>107746</v>
      </c>
      <c r="Q565" s="355">
        <v>106428</v>
      </c>
      <c r="R565" s="355">
        <v>149640</v>
      </c>
      <c r="S565" s="355">
        <v>170605</v>
      </c>
      <c r="T565" s="355">
        <v>195300</v>
      </c>
      <c r="U565" s="59">
        <f t="shared" si="49"/>
        <v>885</v>
      </c>
      <c r="V565" s="59">
        <f t="shared" si="50"/>
        <v>195300</v>
      </c>
      <c r="W565" s="59">
        <f t="shared" si="51"/>
        <v>73478.7</v>
      </c>
      <c r="X565" s="60">
        <f t="shared" si="52"/>
        <v>17754.545454545452</v>
      </c>
      <c r="AC565" s="53"/>
      <c r="AL565" s="65">
        <f>_xlfn.IFERROR(INDEX('Tabela PW'!$T:$T,'Słownik PW'!C565,1),"")</f>
        <v>195300</v>
      </c>
    </row>
    <row r="566" spans="1:38" ht="15">
      <c r="A566" s="4" t="s">
        <v>552</v>
      </c>
      <c r="B566" s="5" t="s">
        <v>668</v>
      </c>
      <c r="C566" s="49" t="s">
        <v>560</v>
      </c>
      <c r="D566" s="349">
        <f t="shared" si="48"/>
        <v>17</v>
      </c>
      <c r="E566" s="350" t="s">
        <v>1271</v>
      </c>
      <c r="F566" s="51" t="s">
        <v>154</v>
      </c>
      <c r="G566" s="351" t="s">
        <v>682</v>
      </c>
      <c r="H566" s="351" t="s">
        <v>2508</v>
      </c>
      <c r="I566" s="351" t="s">
        <v>2509</v>
      </c>
      <c r="J566" s="351" t="s">
        <v>4266</v>
      </c>
      <c r="K566" s="354">
        <v>25709</v>
      </c>
      <c r="L566" s="355">
        <v>28829</v>
      </c>
      <c r="M566" s="354">
        <v>21162</v>
      </c>
      <c r="N566" s="355">
        <v>15680</v>
      </c>
      <c r="O566" s="355">
        <v>161254</v>
      </c>
      <c r="P566" s="355">
        <v>845653</v>
      </c>
      <c r="Q566" s="355">
        <v>1348407</v>
      </c>
      <c r="R566" s="355">
        <v>2165762</v>
      </c>
      <c r="S566" s="355">
        <v>2547387</v>
      </c>
      <c r="T566" s="355">
        <v>3318126</v>
      </c>
      <c r="U566" s="59">
        <f t="shared" si="49"/>
        <v>15680</v>
      </c>
      <c r="V566" s="59">
        <f t="shared" si="50"/>
        <v>3318126</v>
      </c>
      <c r="W566" s="59">
        <f t="shared" si="51"/>
        <v>1047796.9</v>
      </c>
      <c r="X566" s="60">
        <f t="shared" si="52"/>
        <v>12906.476331245867</v>
      </c>
      <c r="AC566" s="53"/>
      <c r="AL566" s="65">
        <f>_xlfn.IFERROR(INDEX('Tabela PW'!$T:$T,'Słownik PW'!C566,1),"")</f>
        <v>3318126</v>
      </c>
    </row>
    <row r="567" spans="1:38" ht="15">
      <c r="A567" s="4" t="s">
        <v>552</v>
      </c>
      <c r="B567" s="5" t="s">
        <v>668</v>
      </c>
      <c r="C567" s="49" t="s">
        <v>560</v>
      </c>
      <c r="D567" s="349">
        <f t="shared" si="48"/>
        <v>17</v>
      </c>
      <c r="E567" s="350" t="s">
        <v>1272</v>
      </c>
      <c r="F567" s="51" t="s">
        <v>25</v>
      </c>
      <c r="G567" s="351" t="s">
        <v>683</v>
      </c>
      <c r="H567" s="351" t="s">
        <v>2510</v>
      </c>
      <c r="I567" s="351" t="s">
        <v>2511</v>
      </c>
      <c r="J567" s="351" t="s">
        <v>4267</v>
      </c>
      <c r="K567" s="354">
        <v>604</v>
      </c>
      <c r="L567" s="355">
        <v>652</v>
      </c>
      <c r="M567" s="354">
        <v>575</v>
      </c>
      <c r="N567" s="355">
        <v>620</v>
      </c>
      <c r="O567" s="355">
        <v>783</v>
      </c>
      <c r="P567" s="355">
        <v>1355</v>
      </c>
      <c r="Q567" s="355">
        <v>1716</v>
      </c>
      <c r="R567" s="355">
        <v>2076</v>
      </c>
      <c r="S567" s="355">
        <v>2314</v>
      </c>
      <c r="T567" s="355">
        <v>2438</v>
      </c>
      <c r="U567" s="59">
        <f t="shared" si="49"/>
        <v>575</v>
      </c>
      <c r="V567" s="59">
        <f t="shared" si="50"/>
        <v>2438</v>
      </c>
      <c r="W567" s="59">
        <f t="shared" si="51"/>
        <v>1313.3</v>
      </c>
      <c r="X567" s="60">
        <f t="shared" si="52"/>
        <v>403.6423841059603</v>
      </c>
      <c r="AC567" s="53"/>
      <c r="AL567" s="65">
        <f>_xlfn.IFERROR(INDEX('Tabela PW'!$T:$T,'Słownik PW'!C567,1),"")</f>
        <v>2438</v>
      </c>
    </row>
    <row r="568" spans="1:38" ht="15">
      <c r="A568" s="4" t="s">
        <v>552</v>
      </c>
      <c r="B568" s="5" t="s">
        <v>668</v>
      </c>
      <c r="C568" s="49" t="s">
        <v>561</v>
      </c>
      <c r="D568" s="349">
        <f t="shared" si="48"/>
        <v>28</v>
      </c>
      <c r="E568" s="350" t="s">
        <v>1273</v>
      </c>
      <c r="F568" s="51" t="s">
        <v>154</v>
      </c>
      <c r="G568" s="351" t="s">
        <v>682</v>
      </c>
      <c r="H568" s="351" t="s">
        <v>2512</v>
      </c>
      <c r="I568" s="351" t="s">
        <v>2513</v>
      </c>
      <c r="J568" s="351" t="s">
        <v>4268</v>
      </c>
      <c r="K568" s="354">
        <v>1278</v>
      </c>
      <c r="L568" s="355">
        <v>1869</v>
      </c>
      <c r="M568" s="354">
        <v>1804</v>
      </c>
      <c r="N568" s="355">
        <v>2274</v>
      </c>
      <c r="O568" s="355">
        <v>2024</v>
      </c>
      <c r="P568" s="355">
        <v>2035</v>
      </c>
      <c r="Q568" s="355">
        <v>2179</v>
      </c>
      <c r="R568" s="355">
        <v>1611</v>
      </c>
      <c r="S568" s="355">
        <v>1757</v>
      </c>
      <c r="T568" s="355">
        <v>1637</v>
      </c>
      <c r="U568" s="59">
        <f t="shared" si="49"/>
        <v>1278</v>
      </c>
      <c r="V568" s="59">
        <f t="shared" si="50"/>
        <v>2274</v>
      </c>
      <c r="W568" s="59">
        <f t="shared" si="51"/>
        <v>1846.8</v>
      </c>
      <c r="X568" s="60">
        <f t="shared" si="52"/>
        <v>128.09076682316118</v>
      </c>
      <c r="AC568" s="53"/>
      <c r="AL568" s="65">
        <f>_xlfn.IFERROR(INDEX('Tabela PW'!$T:$T,'Słownik PW'!C568,1),"")</f>
        <v>1637</v>
      </c>
    </row>
    <row r="569" spans="1:38" ht="15">
      <c r="A569" s="4" t="s">
        <v>552</v>
      </c>
      <c r="B569" s="5" t="s">
        <v>668</v>
      </c>
      <c r="C569" s="49" t="s">
        <v>561</v>
      </c>
      <c r="D569" s="349">
        <f t="shared" si="48"/>
        <v>28</v>
      </c>
      <c r="E569" s="350" t="s">
        <v>1274</v>
      </c>
      <c r="F569" s="51" t="s">
        <v>25</v>
      </c>
      <c r="G569" s="351" t="s">
        <v>683</v>
      </c>
      <c r="H569" s="351" t="s">
        <v>2514</v>
      </c>
      <c r="I569" s="351" t="s">
        <v>2515</v>
      </c>
      <c r="J569" s="351" t="s">
        <v>4269</v>
      </c>
      <c r="K569" s="354">
        <v>728</v>
      </c>
      <c r="L569" s="355">
        <v>1016</v>
      </c>
      <c r="M569" s="354">
        <v>973</v>
      </c>
      <c r="N569" s="355">
        <v>1204</v>
      </c>
      <c r="O569" s="355">
        <v>1095</v>
      </c>
      <c r="P569" s="355">
        <v>1085</v>
      </c>
      <c r="Q569" s="355">
        <v>1033</v>
      </c>
      <c r="R569" s="355">
        <v>807</v>
      </c>
      <c r="S569" s="355">
        <v>1005</v>
      </c>
      <c r="T569" s="355">
        <v>1035</v>
      </c>
      <c r="U569" s="59">
        <f t="shared" si="49"/>
        <v>728</v>
      </c>
      <c r="V569" s="59">
        <f t="shared" si="50"/>
        <v>1204</v>
      </c>
      <c r="W569" s="59">
        <f t="shared" si="51"/>
        <v>998.1</v>
      </c>
      <c r="X569" s="60">
        <f t="shared" si="52"/>
        <v>142.17032967032966</v>
      </c>
      <c r="AC569" s="53"/>
      <c r="AL569" s="65">
        <f>_xlfn.IFERROR(INDEX('Tabela PW'!$T:$T,'Słownik PW'!C569,1),"")</f>
        <v>1035</v>
      </c>
    </row>
    <row r="570" spans="1:38" ht="15">
      <c r="A570" s="4" t="s">
        <v>552</v>
      </c>
      <c r="B570" s="5" t="s">
        <v>668</v>
      </c>
      <c r="C570" s="49" t="s">
        <v>562</v>
      </c>
      <c r="D570" s="349">
        <f t="shared" si="48"/>
        <v>27</v>
      </c>
      <c r="E570" s="350" t="s">
        <v>1275</v>
      </c>
      <c r="F570" s="51" t="s">
        <v>154</v>
      </c>
      <c r="G570" s="351" t="s">
        <v>682</v>
      </c>
      <c r="H570" s="351" t="s">
        <v>2516</v>
      </c>
      <c r="I570" s="351" t="s">
        <v>2517</v>
      </c>
      <c r="J570" s="351" t="s">
        <v>4270</v>
      </c>
      <c r="K570" s="354">
        <v>1023451</v>
      </c>
      <c r="L570" s="355">
        <v>725203</v>
      </c>
      <c r="M570" s="354">
        <v>583719</v>
      </c>
      <c r="N570" s="355">
        <v>628877</v>
      </c>
      <c r="O570" s="355">
        <v>669356</v>
      </c>
      <c r="P570" s="355">
        <v>702947</v>
      </c>
      <c r="Q570" s="355">
        <v>757222</v>
      </c>
      <c r="R570" s="355">
        <v>642963</v>
      </c>
      <c r="S570" s="355">
        <v>683666</v>
      </c>
      <c r="T570" s="355">
        <v>623305</v>
      </c>
      <c r="U570" s="59">
        <f t="shared" si="49"/>
        <v>583719</v>
      </c>
      <c r="V570" s="59">
        <f t="shared" si="50"/>
        <v>1023451</v>
      </c>
      <c r="W570" s="59">
        <f t="shared" si="51"/>
        <v>704070.9</v>
      </c>
      <c r="X570" s="60">
        <f t="shared" si="52"/>
        <v>60.90228061724498</v>
      </c>
      <c r="AC570" s="53"/>
      <c r="AL570" s="65">
        <f>_xlfn.IFERROR(INDEX('Tabela PW'!$T:$T,'Słownik PW'!C570,1),"")</f>
        <v>623305</v>
      </c>
    </row>
    <row r="571" spans="1:38" ht="15">
      <c r="A571" s="4" t="s">
        <v>552</v>
      </c>
      <c r="B571" s="5" t="s">
        <v>668</v>
      </c>
      <c r="C571" s="49" t="s">
        <v>563</v>
      </c>
      <c r="D571" s="349">
        <f t="shared" si="48"/>
        <v>31</v>
      </c>
      <c r="E571" s="350" t="s">
        <v>1276</v>
      </c>
      <c r="F571" s="51" t="s">
        <v>154</v>
      </c>
      <c r="G571" s="351" t="s">
        <v>682</v>
      </c>
      <c r="H571" s="351" t="s">
        <v>2518</v>
      </c>
      <c r="I571" s="351" t="s">
        <v>2519</v>
      </c>
      <c r="J571" s="351" t="s">
        <v>4271</v>
      </c>
      <c r="K571" s="354">
        <v>942360</v>
      </c>
      <c r="L571" s="355">
        <v>722658</v>
      </c>
      <c r="M571" s="354">
        <v>675096</v>
      </c>
      <c r="N571" s="355">
        <v>669404</v>
      </c>
      <c r="O571" s="355">
        <v>607824</v>
      </c>
      <c r="P571" s="355">
        <v>589766</v>
      </c>
      <c r="Q571" s="355">
        <v>542913</v>
      </c>
      <c r="R571" s="355">
        <v>486403</v>
      </c>
      <c r="S571" s="355">
        <v>424546</v>
      </c>
      <c r="T571" s="355">
        <v>376078</v>
      </c>
      <c r="U571" s="59">
        <f t="shared" si="49"/>
        <v>376078</v>
      </c>
      <c r="V571" s="59">
        <f t="shared" si="50"/>
        <v>942360</v>
      </c>
      <c r="W571" s="59">
        <f t="shared" si="51"/>
        <v>603704.8</v>
      </c>
      <c r="X571" s="60">
        <f t="shared" si="52"/>
        <v>39.908103060401544</v>
      </c>
      <c r="AC571" s="53"/>
      <c r="AL571" s="65">
        <f>_xlfn.IFERROR(INDEX('Tabela PW'!$T:$T,'Słownik PW'!C571,1),"")</f>
        <v>376078</v>
      </c>
    </row>
    <row r="572" spans="1:38" ht="15">
      <c r="A572" s="4" t="s">
        <v>552</v>
      </c>
      <c r="B572" s="5" t="s">
        <v>668</v>
      </c>
      <c r="C572" s="49" t="s">
        <v>564</v>
      </c>
      <c r="D572" s="349">
        <f t="shared" si="48"/>
        <v>24</v>
      </c>
      <c r="E572" s="350" t="s">
        <v>1277</v>
      </c>
      <c r="F572" s="51" t="s">
        <v>154</v>
      </c>
      <c r="G572" s="351" t="s">
        <v>682</v>
      </c>
      <c r="H572" s="351" t="s">
        <v>2520</v>
      </c>
      <c r="I572" s="351" t="s">
        <v>2521</v>
      </c>
      <c r="J572" s="351" t="s">
        <v>4272</v>
      </c>
      <c r="K572" s="354">
        <v>354171</v>
      </c>
      <c r="L572" s="355">
        <v>279401</v>
      </c>
      <c r="M572" s="354">
        <v>256775</v>
      </c>
      <c r="N572" s="355">
        <v>246562</v>
      </c>
      <c r="O572" s="355">
        <v>254280</v>
      </c>
      <c r="P572" s="355">
        <v>229010</v>
      </c>
      <c r="Q572" s="355">
        <v>242061</v>
      </c>
      <c r="R572" s="355">
        <v>146345</v>
      </c>
      <c r="S572" s="355">
        <v>189313</v>
      </c>
      <c r="T572" s="355">
        <v>165652</v>
      </c>
      <c r="U572" s="59">
        <f t="shared" si="49"/>
        <v>146345</v>
      </c>
      <c r="V572" s="59">
        <f t="shared" si="50"/>
        <v>354171</v>
      </c>
      <c r="W572" s="59">
        <f t="shared" si="51"/>
        <v>236357</v>
      </c>
      <c r="X572" s="60">
        <f t="shared" si="52"/>
        <v>46.771757145559626</v>
      </c>
      <c r="AC572" s="53"/>
      <c r="AL572" s="65">
        <f>_xlfn.IFERROR(INDEX('Tabela PW'!$T:$T,'Słownik PW'!C572,1),"")</f>
        <v>165652</v>
      </c>
    </row>
    <row r="573" spans="1:38" ht="15">
      <c r="A573" s="4" t="s">
        <v>552</v>
      </c>
      <c r="B573" s="5" t="s">
        <v>668</v>
      </c>
      <c r="C573" s="49" t="s">
        <v>565</v>
      </c>
      <c r="D573" s="349">
        <f t="shared" si="48"/>
        <v>27</v>
      </c>
      <c r="E573" s="350" t="s">
        <v>1278</v>
      </c>
      <c r="F573" s="51" t="s">
        <v>154</v>
      </c>
      <c r="G573" s="351" t="s">
        <v>682</v>
      </c>
      <c r="H573" s="351" t="s">
        <v>2522</v>
      </c>
      <c r="I573" s="351" t="s">
        <v>2523</v>
      </c>
      <c r="J573" s="351" t="s">
        <v>4273</v>
      </c>
      <c r="K573" s="354">
        <v>181902</v>
      </c>
      <c r="L573" s="355">
        <v>155419</v>
      </c>
      <c r="M573" s="354">
        <v>128926</v>
      </c>
      <c r="N573" s="355">
        <v>130823</v>
      </c>
      <c r="O573" s="355">
        <v>143592</v>
      </c>
      <c r="P573" s="355">
        <v>138756</v>
      </c>
      <c r="Q573" s="355">
        <v>144949</v>
      </c>
      <c r="R573" s="355">
        <v>97708</v>
      </c>
      <c r="S573" s="355">
        <v>113216</v>
      </c>
      <c r="T573" s="355">
        <v>94650</v>
      </c>
      <c r="U573" s="59">
        <f t="shared" si="49"/>
        <v>94650</v>
      </c>
      <c r="V573" s="59">
        <f t="shared" si="50"/>
        <v>181902</v>
      </c>
      <c r="W573" s="59">
        <f t="shared" si="51"/>
        <v>132994.1</v>
      </c>
      <c r="X573" s="60">
        <f t="shared" si="52"/>
        <v>52.03351255071412</v>
      </c>
      <c r="AC573" s="53"/>
      <c r="AL573" s="65">
        <f>_xlfn.IFERROR(INDEX('Tabela PW'!$T:$T,'Słownik PW'!C573,1),"")</f>
        <v>94650</v>
      </c>
    </row>
    <row r="574" spans="1:38" ht="15">
      <c r="A574" s="4" t="s">
        <v>552</v>
      </c>
      <c r="B574" s="5" t="s">
        <v>668</v>
      </c>
      <c r="C574" s="49" t="s">
        <v>566</v>
      </c>
      <c r="D574" s="349">
        <f t="shared" si="48"/>
        <v>96</v>
      </c>
      <c r="E574" s="350" t="s">
        <v>1279</v>
      </c>
      <c r="F574" s="51" t="s">
        <v>25</v>
      </c>
      <c r="G574" s="351" t="s">
        <v>683</v>
      </c>
      <c r="H574" s="351" t="s">
        <v>2524</v>
      </c>
      <c r="I574" s="351" t="s">
        <v>2525</v>
      </c>
      <c r="J574" s="351" t="s">
        <v>4274</v>
      </c>
      <c r="K574" s="354">
        <v>2821</v>
      </c>
      <c r="L574" s="355">
        <v>3161</v>
      </c>
      <c r="M574" s="354">
        <v>3419</v>
      </c>
      <c r="N574" s="355">
        <v>2887</v>
      </c>
      <c r="O574" s="355">
        <v>2337</v>
      </c>
      <c r="P574" s="355">
        <v>2516</v>
      </c>
      <c r="Q574" s="355">
        <v>2275</v>
      </c>
      <c r="R574" s="355">
        <v>2516</v>
      </c>
      <c r="S574" s="355">
        <v>2667</v>
      </c>
      <c r="T574" s="355">
        <v>2686</v>
      </c>
      <c r="U574" s="59">
        <f t="shared" si="49"/>
        <v>2275</v>
      </c>
      <c r="V574" s="59">
        <f t="shared" si="50"/>
        <v>3419</v>
      </c>
      <c r="W574" s="59">
        <f t="shared" si="51"/>
        <v>2728.5</v>
      </c>
      <c r="X574" s="60">
        <f t="shared" si="52"/>
        <v>95.21446295639844</v>
      </c>
      <c r="AC574" s="53"/>
      <c r="AL574" s="65">
        <f>_xlfn.IFERROR(INDEX('Tabela PW'!$T:$T,'Słownik PW'!C574,1),"")</f>
        <v>2686</v>
      </c>
    </row>
    <row r="575" spans="1:38" ht="15">
      <c r="A575" s="4" t="s">
        <v>552</v>
      </c>
      <c r="B575" s="5" t="s">
        <v>668</v>
      </c>
      <c r="C575" s="49" t="s">
        <v>567</v>
      </c>
      <c r="D575" s="349">
        <f t="shared" si="48"/>
        <v>44</v>
      </c>
      <c r="E575" s="350" t="s">
        <v>1280</v>
      </c>
      <c r="F575" s="51" t="s">
        <v>139</v>
      </c>
      <c r="G575" s="351" t="s">
        <v>674</v>
      </c>
      <c r="H575" s="351" t="s">
        <v>2526</v>
      </c>
      <c r="I575" s="351" t="s">
        <v>2527</v>
      </c>
      <c r="J575" s="351" t="s">
        <v>4275</v>
      </c>
      <c r="K575" s="354">
        <v>1903079</v>
      </c>
      <c r="L575" s="355">
        <v>1888186</v>
      </c>
      <c r="M575" s="354">
        <v>1958794</v>
      </c>
      <c r="N575" s="355">
        <v>1798533</v>
      </c>
      <c r="O575" s="355">
        <v>1901453</v>
      </c>
      <c r="P575" s="355">
        <v>1930855</v>
      </c>
      <c r="Q575" s="355">
        <v>1968373</v>
      </c>
      <c r="R575" s="355">
        <v>1584350</v>
      </c>
      <c r="S575" s="355">
        <v>1787682</v>
      </c>
      <c r="T575" s="355">
        <v>1829392</v>
      </c>
      <c r="U575" s="59">
        <f t="shared" si="49"/>
        <v>1584350</v>
      </c>
      <c r="V575" s="59">
        <f t="shared" si="50"/>
        <v>1968373</v>
      </c>
      <c r="W575" s="59">
        <f t="shared" si="51"/>
        <v>1855069.7</v>
      </c>
      <c r="X575" s="60">
        <f t="shared" si="52"/>
        <v>96.12801150136174</v>
      </c>
      <c r="AC575" s="53"/>
      <c r="AL575" s="65">
        <f>_xlfn.IFERROR(INDEX('Tabela PW'!$T:$T,'Słownik PW'!C575,1),"")</f>
        <v>1829392</v>
      </c>
    </row>
    <row r="576" spans="1:38" ht="15">
      <c r="A576" s="4" t="s">
        <v>552</v>
      </c>
      <c r="B576" s="5" t="s">
        <v>668</v>
      </c>
      <c r="C576" s="49" t="s">
        <v>568</v>
      </c>
      <c r="D576" s="349">
        <f t="shared" si="48"/>
        <v>15</v>
      </c>
      <c r="E576" s="350" t="s">
        <v>1281</v>
      </c>
      <c r="F576" s="51" t="s">
        <v>156</v>
      </c>
      <c r="G576" s="351" t="s">
        <v>705</v>
      </c>
      <c r="H576" s="351" t="s">
        <v>2528</v>
      </c>
      <c r="I576" s="351" t="s">
        <v>2529</v>
      </c>
      <c r="J576" s="351" t="s">
        <v>4276</v>
      </c>
      <c r="K576" s="354">
        <v>167656</v>
      </c>
      <c r="L576" s="355">
        <v>180107</v>
      </c>
      <c r="M576" s="354">
        <v>167948</v>
      </c>
      <c r="N576" s="355">
        <v>179919</v>
      </c>
      <c r="O576" s="355">
        <v>189833</v>
      </c>
      <c r="P576" s="355">
        <v>188500</v>
      </c>
      <c r="Q576" s="355">
        <v>198426</v>
      </c>
      <c r="R576" s="355">
        <v>205267</v>
      </c>
      <c r="S576" s="355">
        <v>203445</v>
      </c>
      <c r="T576" s="355">
        <v>165347</v>
      </c>
      <c r="U576" s="59">
        <f t="shared" si="49"/>
        <v>165347</v>
      </c>
      <c r="V576" s="59">
        <f t="shared" si="50"/>
        <v>205267</v>
      </c>
      <c r="W576" s="59">
        <f t="shared" si="51"/>
        <v>184644.8</v>
      </c>
      <c r="X576" s="60">
        <f t="shared" si="52"/>
        <v>98.62277520637495</v>
      </c>
      <c r="AC576" s="53"/>
      <c r="AL576" s="65">
        <f>_xlfn.IFERROR(INDEX('Tabela PW'!$T:$T,'Słownik PW'!C576,1),"")</f>
        <v>165347</v>
      </c>
    </row>
    <row r="577" spans="1:38" ht="15">
      <c r="A577" s="4" t="s">
        <v>552</v>
      </c>
      <c r="B577" s="5" t="s">
        <v>668</v>
      </c>
      <c r="C577" s="49" t="s">
        <v>569</v>
      </c>
      <c r="D577" s="349">
        <f aca="true" t="shared" si="53" ref="D577:D640">LEN(C577)</f>
        <v>14</v>
      </c>
      <c r="E577" s="350" t="s">
        <v>1282</v>
      </c>
      <c r="F577" s="51" t="s">
        <v>156</v>
      </c>
      <c r="G577" s="351" t="s">
        <v>705</v>
      </c>
      <c r="H577" s="351" t="s">
        <v>2530</v>
      </c>
      <c r="I577" s="351" t="s">
        <v>2531</v>
      </c>
      <c r="J577" s="351" t="s">
        <v>4277</v>
      </c>
      <c r="K577" s="354">
        <v>209276</v>
      </c>
      <c r="L577" s="355">
        <v>221276</v>
      </c>
      <c r="M577" s="354">
        <v>208175</v>
      </c>
      <c r="N577" s="355">
        <v>214972</v>
      </c>
      <c r="O577" s="355">
        <v>226364</v>
      </c>
      <c r="P577" s="355">
        <v>228331</v>
      </c>
      <c r="Q577" s="355">
        <v>240730</v>
      </c>
      <c r="R577" s="355">
        <v>249366</v>
      </c>
      <c r="S577" s="355">
        <v>246159</v>
      </c>
      <c r="T577" s="355">
        <v>203907</v>
      </c>
      <c r="U577" s="59">
        <f t="shared" si="49"/>
        <v>203907</v>
      </c>
      <c r="V577" s="59">
        <f t="shared" si="50"/>
        <v>249366</v>
      </c>
      <c r="W577" s="59">
        <f t="shared" si="51"/>
        <v>224855.6</v>
      </c>
      <c r="X577" s="60">
        <f t="shared" si="52"/>
        <v>97.43448842676656</v>
      </c>
      <c r="AC577" s="53"/>
      <c r="AL577" s="65">
        <f>_xlfn.IFERROR(INDEX('Tabela PW'!$T:$T,'Słownik PW'!C577,1),"")</f>
        <v>203907</v>
      </c>
    </row>
    <row r="578" spans="1:38" ht="15">
      <c r="A578" s="4" t="s">
        <v>552</v>
      </c>
      <c r="B578" s="5" t="s">
        <v>668</v>
      </c>
      <c r="C578" s="49" t="s">
        <v>570</v>
      </c>
      <c r="D578" s="349">
        <f t="shared" si="53"/>
        <v>73</v>
      </c>
      <c r="E578" s="350" t="s">
        <v>1283</v>
      </c>
      <c r="F578" s="51" t="s">
        <v>156</v>
      </c>
      <c r="G578" s="351" t="s">
        <v>705</v>
      </c>
      <c r="H578" s="351" t="s">
        <v>2532</v>
      </c>
      <c r="I578" s="351" t="s">
        <v>2533</v>
      </c>
      <c r="J578" s="351" t="s">
        <v>4278</v>
      </c>
      <c r="K578" s="354">
        <v>25379</v>
      </c>
      <c r="L578" s="355">
        <v>25512</v>
      </c>
      <c r="M578" s="354">
        <v>22048</v>
      </c>
      <c r="N578" s="355">
        <v>22284</v>
      </c>
      <c r="O578" s="355">
        <v>24103</v>
      </c>
      <c r="P578" s="355">
        <v>26167</v>
      </c>
      <c r="Q578" s="355">
        <v>26662</v>
      </c>
      <c r="R578" s="355">
        <v>27944</v>
      </c>
      <c r="S578" s="355">
        <v>27868</v>
      </c>
      <c r="T578" s="355">
        <v>25973</v>
      </c>
      <c r="U578" s="59">
        <f t="shared" si="49"/>
        <v>22048</v>
      </c>
      <c r="V578" s="59">
        <f t="shared" si="50"/>
        <v>27944</v>
      </c>
      <c r="W578" s="59">
        <f t="shared" si="51"/>
        <v>25394</v>
      </c>
      <c r="X578" s="60">
        <f t="shared" si="52"/>
        <v>102.34051775089641</v>
      </c>
      <c r="AC578" s="53"/>
      <c r="AL578" s="65">
        <f>_xlfn.IFERROR(INDEX('Tabela PW'!$T:$T,'Słownik PW'!C578,1),"")</f>
        <v>25973</v>
      </c>
    </row>
    <row r="579" spans="1:38" ht="15">
      <c r="A579" s="4" t="s">
        <v>552</v>
      </c>
      <c r="B579" s="5" t="s">
        <v>668</v>
      </c>
      <c r="C579" s="49" t="s">
        <v>571</v>
      </c>
      <c r="D579" s="349">
        <f t="shared" si="53"/>
        <v>51</v>
      </c>
      <c r="E579" s="350" t="s">
        <v>1284</v>
      </c>
      <c r="F579" s="51" t="s">
        <v>25</v>
      </c>
      <c r="G579" s="351" t="s">
        <v>683</v>
      </c>
      <c r="H579" s="351" t="s">
        <v>2534</v>
      </c>
      <c r="I579" s="351" t="s">
        <v>2535</v>
      </c>
      <c r="J579" s="351" t="s">
        <v>4279</v>
      </c>
      <c r="K579" s="354">
        <v>15809</v>
      </c>
      <c r="L579" s="355">
        <v>16430</v>
      </c>
      <c r="M579" s="354">
        <v>17742</v>
      </c>
      <c r="N579" s="355">
        <v>18055</v>
      </c>
      <c r="O579" s="355">
        <v>11116</v>
      </c>
      <c r="P579" s="355">
        <v>15046</v>
      </c>
      <c r="Q579" s="355">
        <v>12910</v>
      </c>
      <c r="R579" s="355">
        <v>15557</v>
      </c>
      <c r="S579" s="355">
        <v>14650</v>
      </c>
      <c r="T579" s="355" t="s">
        <v>4602</v>
      </c>
      <c r="U579" s="59">
        <f aca="true" t="shared" si="54" ref="U579:U642">MIN(K579:T579)</f>
        <v>11116</v>
      </c>
      <c r="V579" s="59">
        <f aca="true" t="shared" si="55" ref="V579:V642">MAX(K579:T579)</f>
        <v>18055</v>
      </c>
      <c r="W579" s="59">
        <f aca="true" t="shared" si="56" ref="W579:W642">AVERAGE(K579:T579)</f>
        <v>15257.222222222223</v>
      </c>
      <c r="X579" s="60" t="str">
        <f aca="true" t="shared" si="57" ref="X579:X642">_xlfn.IFERROR(T579/K579*100,"-")</f>
        <v>-</v>
      </c>
      <c r="AC579" s="53"/>
      <c r="AL579" s="65" t="str">
        <f>_xlfn.IFERROR(INDEX('Tabela PW'!$T:$T,'Słownik PW'!C579,1),"")</f>
        <v>x</v>
      </c>
    </row>
    <row r="580" spans="1:38" ht="15">
      <c r="A580" s="4" t="s">
        <v>552</v>
      </c>
      <c r="B580" s="5" t="s">
        <v>668</v>
      </c>
      <c r="C580" s="49" t="s">
        <v>572</v>
      </c>
      <c r="D580" s="349">
        <f t="shared" si="53"/>
        <v>45</v>
      </c>
      <c r="E580" s="350" t="s">
        <v>1285</v>
      </c>
      <c r="F580" s="51" t="s">
        <v>139</v>
      </c>
      <c r="G580" s="351" t="s">
        <v>674</v>
      </c>
      <c r="H580" s="351" t="s">
        <v>2536</v>
      </c>
      <c r="I580" s="351" t="s">
        <v>2537</v>
      </c>
      <c r="J580" s="351" t="s">
        <v>4280</v>
      </c>
      <c r="K580" s="354">
        <v>81303</v>
      </c>
      <c r="L580" s="355">
        <v>56322</v>
      </c>
      <c r="M580" s="354">
        <v>44465</v>
      </c>
      <c r="N580" s="355">
        <v>45187</v>
      </c>
      <c r="O580" s="355">
        <v>114868</v>
      </c>
      <c r="P580" s="355">
        <v>144440</v>
      </c>
      <c r="Q580" s="355">
        <v>152940</v>
      </c>
      <c r="R580" s="355">
        <v>151788</v>
      </c>
      <c r="S580" s="355">
        <v>142367</v>
      </c>
      <c r="T580" s="355">
        <v>138628</v>
      </c>
      <c r="U580" s="59">
        <f t="shared" si="54"/>
        <v>44465</v>
      </c>
      <c r="V580" s="59">
        <f t="shared" si="55"/>
        <v>152940</v>
      </c>
      <c r="W580" s="59">
        <f t="shared" si="56"/>
        <v>107230.8</v>
      </c>
      <c r="X580" s="60">
        <f t="shared" si="57"/>
        <v>170.50785333874518</v>
      </c>
      <c r="AC580" s="53"/>
      <c r="AL580" s="65">
        <f>_xlfn.IFERROR(INDEX('Tabela PW'!$T:$T,'Słownik PW'!C580,1),"")</f>
        <v>138628</v>
      </c>
    </row>
    <row r="581" spans="1:38" ht="15">
      <c r="A581" s="4" t="s">
        <v>552</v>
      </c>
      <c r="B581" s="5" t="s">
        <v>668</v>
      </c>
      <c r="C581" s="49" t="s">
        <v>572</v>
      </c>
      <c r="D581" s="349">
        <f t="shared" si="53"/>
        <v>45</v>
      </c>
      <c r="E581" s="350" t="s">
        <v>1286</v>
      </c>
      <c r="F581" s="51" t="s">
        <v>154</v>
      </c>
      <c r="G581" s="351" t="s">
        <v>682</v>
      </c>
      <c r="H581" s="351" t="s">
        <v>2538</v>
      </c>
      <c r="I581" s="351" t="s">
        <v>2539</v>
      </c>
      <c r="J581" s="351" t="s">
        <v>4281</v>
      </c>
      <c r="K581" s="354">
        <v>339</v>
      </c>
      <c r="L581" s="355">
        <v>321</v>
      </c>
      <c r="M581" s="354">
        <v>251</v>
      </c>
      <c r="N581" s="355">
        <v>372</v>
      </c>
      <c r="O581" s="355">
        <v>496</v>
      </c>
      <c r="P581" s="355">
        <v>542</v>
      </c>
      <c r="Q581" s="355">
        <v>608</v>
      </c>
      <c r="R581" s="355">
        <v>566</v>
      </c>
      <c r="S581" s="355">
        <v>633</v>
      </c>
      <c r="T581" s="355">
        <v>682</v>
      </c>
      <c r="U581" s="59">
        <f t="shared" si="54"/>
        <v>251</v>
      </c>
      <c r="V581" s="59">
        <f t="shared" si="55"/>
        <v>682</v>
      </c>
      <c r="W581" s="59">
        <f t="shared" si="56"/>
        <v>481</v>
      </c>
      <c r="X581" s="60">
        <f t="shared" si="57"/>
        <v>201.17994100294987</v>
      </c>
      <c r="AC581" s="53"/>
      <c r="AL581" s="65">
        <f>_xlfn.IFERROR(INDEX('Tabela PW'!$T:$T,'Słownik PW'!C581,1),"")</f>
        <v>682</v>
      </c>
    </row>
    <row r="582" spans="1:38" ht="15">
      <c r="A582" s="4" t="s">
        <v>552</v>
      </c>
      <c r="B582" s="5" t="s">
        <v>668</v>
      </c>
      <c r="C582" s="49" t="s">
        <v>573</v>
      </c>
      <c r="D582" s="349">
        <f t="shared" si="53"/>
        <v>96</v>
      </c>
      <c r="E582" s="350" t="s">
        <v>1287</v>
      </c>
      <c r="F582" s="51" t="s">
        <v>154</v>
      </c>
      <c r="G582" s="351" t="s">
        <v>682</v>
      </c>
      <c r="H582" s="351" t="s">
        <v>2540</v>
      </c>
      <c r="I582" s="351" t="s">
        <v>2541</v>
      </c>
      <c r="J582" s="351" t="s">
        <v>4282</v>
      </c>
      <c r="K582" s="354">
        <v>33</v>
      </c>
      <c r="L582" s="355">
        <v>72</v>
      </c>
      <c r="M582" s="354">
        <v>77</v>
      </c>
      <c r="N582" s="355">
        <v>31</v>
      </c>
      <c r="O582" s="355">
        <v>73</v>
      </c>
      <c r="P582" s="355">
        <v>75</v>
      </c>
      <c r="Q582" s="355">
        <v>170</v>
      </c>
      <c r="R582" s="355">
        <v>1273</v>
      </c>
      <c r="S582" s="355">
        <v>4622</v>
      </c>
      <c r="T582" s="355">
        <v>4091</v>
      </c>
      <c r="U582" s="59">
        <f t="shared" si="54"/>
        <v>31</v>
      </c>
      <c r="V582" s="59">
        <f t="shared" si="55"/>
        <v>4622</v>
      </c>
      <c r="W582" s="59">
        <f t="shared" si="56"/>
        <v>1051.7</v>
      </c>
      <c r="X582" s="60">
        <f t="shared" si="57"/>
        <v>12396.969696969696</v>
      </c>
      <c r="AC582" s="53"/>
      <c r="AL582" s="65">
        <f>_xlfn.IFERROR(INDEX('Tabela PW'!$T:$T,'Słownik PW'!C582,1),"")</f>
        <v>4091</v>
      </c>
    </row>
    <row r="583" spans="1:38" ht="15">
      <c r="A583" s="4" t="s">
        <v>552</v>
      </c>
      <c r="B583" s="5" t="s">
        <v>668</v>
      </c>
      <c r="C583" s="49" t="s">
        <v>574</v>
      </c>
      <c r="D583" s="349">
        <f t="shared" si="53"/>
        <v>28</v>
      </c>
      <c r="E583" s="350" t="s">
        <v>1288</v>
      </c>
      <c r="F583" s="51" t="s">
        <v>154</v>
      </c>
      <c r="G583" s="351" t="s">
        <v>682</v>
      </c>
      <c r="H583" s="351" t="s">
        <v>2542</v>
      </c>
      <c r="I583" s="351" t="s">
        <v>2543</v>
      </c>
      <c r="J583" s="351" t="s">
        <v>4283</v>
      </c>
      <c r="K583" s="354">
        <v>228</v>
      </c>
      <c r="L583" s="355">
        <v>325</v>
      </c>
      <c r="M583" s="354">
        <v>313</v>
      </c>
      <c r="N583" s="355">
        <v>240</v>
      </c>
      <c r="O583" s="355">
        <v>289</v>
      </c>
      <c r="P583" s="355">
        <v>370</v>
      </c>
      <c r="Q583" s="355">
        <v>360</v>
      </c>
      <c r="R583" s="355">
        <v>403</v>
      </c>
      <c r="S583" s="355">
        <v>427</v>
      </c>
      <c r="T583" s="355">
        <v>448</v>
      </c>
      <c r="U583" s="59">
        <f t="shared" si="54"/>
        <v>228</v>
      </c>
      <c r="V583" s="59">
        <f t="shared" si="55"/>
        <v>448</v>
      </c>
      <c r="W583" s="59">
        <f t="shared" si="56"/>
        <v>340.3</v>
      </c>
      <c r="X583" s="60">
        <f t="shared" si="57"/>
        <v>196.49122807017542</v>
      </c>
      <c r="AC583" s="53"/>
      <c r="AL583" s="65">
        <f>_xlfn.IFERROR(INDEX('Tabela PW'!$T:$T,'Słownik PW'!C583,1),"")</f>
        <v>448</v>
      </c>
    </row>
    <row r="584" spans="1:38" ht="15">
      <c r="A584" s="4" t="s">
        <v>552</v>
      </c>
      <c r="B584" s="5" t="s">
        <v>668</v>
      </c>
      <c r="C584" s="49" t="s">
        <v>574</v>
      </c>
      <c r="D584" s="349">
        <f t="shared" si="53"/>
        <v>28</v>
      </c>
      <c r="E584" s="350" t="s">
        <v>1289</v>
      </c>
      <c r="F584" s="51" t="s">
        <v>25</v>
      </c>
      <c r="G584" s="351" t="s">
        <v>683</v>
      </c>
      <c r="H584" s="351" t="s">
        <v>2544</v>
      </c>
      <c r="I584" s="351" t="s">
        <v>2545</v>
      </c>
      <c r="J584" s="351" t="s">
        <v>4284</v>
      </c>
      <c r="K584" s="354">
        <v>2368</v>
      </c>
      <c r="L584" s="355">
        <v>2290</v>
      </c>
      <c r="M584" s="354">
        <v>4438</v>
      </c>
      <c r="N584" s="355">
        <v>3456</v>
      </c>
      <c r="O584" s="355">
        <v>5566</v>
      </c>
      <c r="P584" s="355">
        <v>4200</v>
      </c>
      <c r="Q584" s="355">
        <v>4096</v>
      </c>
      <c r="R584" s="355">
        <v>3385</v>
      </c>
      <c r="S584" s="355">
        <v>2454</v>
      </c>
      <c r="T584" s="355">
        <v>3038</v>
      </c>
      <c r="U584" s="59">
        <f t="shared" si="54"/>
        <v>2290</v>
      </c>
      <c r="V584" s="59">
        <f t="shared" si="55"/>
        <v>5566</v>
      </c>
      <c r="W584" s="59">
        <f t="shared" si="56"/>
        <v>3529.1</v>
      </c>
      <c r="X584" s="60">
        <f t="shared" si="57"/>
        <v>128.29391891891893</v>
      </c>
      <c r="AC584" s="53"/>
      <c r="AL584" s="65">
        <f>_xlfn.IFERROR(INDEX('Tabela PW'!$T:$T,'Słownik PW'!C584,1),"")</f>
        <v>3038</v>
      </c>
    </row>
    <row r="585" spans="1:38" ht="15">
      <c r="A585" s="4" t="s">
        <v>552</v>
      </c>
      <c r="B585" s="5" t="s">
        <v>668</v>
      </c>
      <c r="C585" s="49" t="s">
        <v>575</v>
      </c>
      <c r="D585" s="349">
        <f t="shared" si="53"/>
        <v>32</v>
      </c>
      <c r="E585" s="350" t="s">
        <v>1290</v>
      </c>
      <c r="F585" s="51" t="s">
        <v>154</v>
      </c>
      <c r="G585" s="351" t="s">
        <v>682</v>
      </c>
      <c r="H585" s="351" t="s">
        <v>2546</v>
      </c>
      <c r="I585" s="351" t="s">
        <v>2547</v>
      </c>
      <c r="J585" s="351" t="s">
        <v>4285</v>
      </c>
      <c r="K585" s="354">
        <v>2625</v>
      </c>
      <c r="L585" s="355">
        <v>2057</v>
      </c>
      <c r="M585" s="354">
        <v>3573</v>
      </c>
      <c r="N585" s="355">
        <v>1125</v>
      </c>
      <c r="O585" s="355">
        <v>1207</v>
      </c>
      <c r="P585" s="355">
        <v>1307</v>
      </c>
      <c r="Q585" s="355">
        <v>1696</v>
      </c>
      <c r="R585" s="355">
        <v>1794</v>
      </c>
      <c r="S585" s="355">
        <v>1701</v>
      </c>
      <c r="T585" s="355">
        <v>1577</v>
      </c>
      <c r="U585" s="59">
        <f t="shared" si="54"/>
        <v>1125</v>
      </c>
      <c r="V585" s="59">
        <f t="shared" si="55"/>
        <v>3573</v>
      </c>
      <c r="W585" s="59">
        <f t="shared" si="56"/>
        <v>1866.2</v>
      </c>
      <c r="X585" s="60">
        <f t="shared" si="57"/>
        <v>60.07619047619047</v>
      </c>
      <c r="AC585" s="53"/>
      <c r="AL585" s="65">
        <f>_xlfn.IFERROR(INDEX('Tabela PW'!$T:$T,'Słownik PW'!C585,1),"")</f>
        <v>1577</v>
      </c>
    </row>
    <row r="586" spans="1:38" ht="15">
      <c r="A586" s="4" t="s">
        <v>552</v>
      </c>
      <c r="B586" s="5" t="s">
        <v>668</v>
      </c>
      <c r="C586" s="49" t="s">
        <v>576</v>
      </c>
      <c r="D586" s="349">
        <f t="shared" si="53"/>
        <v>17</v>
      </c>
      <c r="E586" s="350" t="s">
        <v>1291</v>
      </c>
      <c r="F586" s="51" t="s">
        <v>154</v>
      </c>
      <c r="G586" s="351" t="s">
        <v>682</v>
      </c>
      <c r="H586" s="351" t="s">
        <v>2548</v>
      </c>
      <c r="I586" s="351" t="s">
        <v>2549</v>
      </c>
      <c r="J586" s="351" t="s">
        <v>4286</v>
      </c>
      <c r="K586" s="354">
        <v>95660</v>
      </c>
      <c r="L586" s="355">
        <v>152313</v>
      </c>
      <c r="M586" s="354">
        <v>133073</v>
      </c>
      <c r="N586" s="355">
        <v>233092</v>
      </c>
      <c r="O586" s="355">
        <v>238605</v>
      </c>
      <c r="P586" s="355">
        <v>222859</v>
      </c>
      <c r="Q586" s="355">
        <v>156561</v>
      </c>
      <c r="R586" s="355">
        <v>175646</v>
      </c>
      <c r="S586" s="355">
        <v>196623</v>
      </c>
      <c r="T586" s="355">
        <v>251032</v>
      </c>
      <c r="U586" s="59">
        <f t="shared" si="54"/>
        <v>95660</v>
      </c>
      <c r="V586" s="59">
        <f t="shared" si="55"/>
        <v>251032</v>
      </c>
      <c r="W586" s="59">
        <f t="shared" si="56"/>
        <v>185546.4</v>
      </c>
      <c r="X586" s="60">
        <f t="shared" si="57"/>
        <v>262.4210746393477</v>
      </c>
      <c r="AC586" s="53"/>
      <c r="AL586" s="65">
        <f>_xlfn.IFERROR(INDEX('Tabela PW'!$T:$T,'Słownik PW'!C586,1),"")</f>
        <v>251032</v>
      </c>
    </row>
    <row r="587" spans="1:38" ht="15">
      <c r="A587" s="4" t="s">
        <v>552</v>
      </c>
      <c r="B587" s="5" t="s">
        <v>668</v>
      </c>
      <c r="C587" s="49" t="s">
        <v>577</v>
      </c>
      <c r="D587" s="349">
        <f t="shared" si="53"/>
        <v>43</v>
      </c>
      <c r="E587" s="350" t="s">
        <v>1292</v>
      </c>
      <c r="F587" s="51" t="s">
        <v>154</v>
      </c>
      <c r="G587" s="351" t="s">
        <v>682</v>
      </c>
      <c r="H587" s="351" t="s">
        <v>2550</v>
      </c>
      <c r="I587" s="351" t="s">
        <v>2551</v>
      </c>
      <c r="J587" s="351" t="s">
        <v>4287</v>
      </c>
      <c r="K587" s="354">
        <v>2528</v>
      </c>
      <c r="L587" s="355">
        <v>524</v>
      </c>
      <c r="M587" s="354">
        <v>508</v>
      </c>
      <c r="N587" s="355">
        <v>529</v>
      </c>
      <c r="O587" s="355">
        <v>488</v>
      </c>
      <c r="P587" s="355">
        <v>492</v>
      </c>
      <c r="Q587" s="355">
        <v>589</v>
      </c>
      <c r="R587" s="355">
        <v>515</v>
      </c>
      <c r="S587" s="355">
        <v>450</v>
      </c>
      <c r="T587" s="355">
        <v>431</v>
      </c>
      <c r="U587" s="59">
        <f t="shared" si="54"/>
        <v>431</v>
      </c>
      <c r="V587" s="59">
        <f t="shared" si="55"/>
        <v>2528</v>
      </c>
      <c r="W587" s="59">
        <f t="shared" si="56"/>
        <v>705.4</v>
      </c>
      <c r="X587" s="60">
        <f t="shared" si="57"/>
        <v>17.049050632911392</v>
      </c>
      <c r="AC587" s="53"/>
      <c r="AL587" s="65">
        <f>_xlfn.IFERROR(INDEX('Tabela PW'!$T:$T,'Słownik PW'!C587,1),"")</f>
        <v>431</v>
      </c>
    </row>
    <row r="588" spans="1:38" ht="15">
      <c r="A588" s="4" t="s">
        <v>552</v>
      </c>
      <c r="B588" s="5" t="s">
        <v>668</v>
      </c>
      <c r="C588" s="49" t="s">
        <v>577</v>
      </c>
      <c r="D588" s="349">
        <f t="shared" si="53"/>
        <v>43</v>
      </c>
      <c r="E588" s="350" t="s">
        <v>1293</v>
      </c>
      <c r="F588" s="51" t="s">
        <v>25</v>
      </c>
      <c r="G588" s="351" t="s">
        <v>683</v>
      </c>
      <c r="H588" s="351" t="s">
        <v>2552</v>
      </c>
      <c r="I588" s="351" t="s">
        <v>2553</v>
      </c>
      <c r="J588" s="351" t="s">
        <v>4288</v>
      </c>
      <c r="K588" s="354">
        <v>3503</v>
      </c>
      <c r="L588" s="355">
        <v>2680</v>
      </c>
      <c r="M588" s="354">
        <v>1630</v>
      </c>
      <c r="N588" s="355">
        <v>2975</v>
      </c>
      <c r="O588" s="355">
        <v>1913</v>
      </c>
      <c r="P588" s="355">
        <v>3580</v>
      </c>
      <c r="Q588" s="355">
        <v>1518</v>
      </c>
      <c r="R588" s="355">
        <v>4936</v>
      </c>
      <c r="S588" s="355">
        <v>2762</v>
      </c>
      <c r="T588" s="355">
        <v>2089</v>
      </c>
      <c r="U588" s="59">
        <f t="shared" si="54"/>
        <v>1518</v>
      </c>
      <c r="V588" s="59">
        <f t="shared" si="55"/>
        <v>4936</v>
      </c>
      <c r="W588" s="59">
        <f t="shared" si="56"/>
        <v>2758.6</v>
      </c>
      <c r="X588" s="60">
        <f t="shared" si="57"/>
        <v>59.634598915215534</v>
      </c>
      <c r="AC588" s="53"/>
      <c r="AL588" s="65">
        <f>_xlfn.IFERROR(INDEX('Tabela PW'!$T:$T,'Słownik PW'!C588,1),"")</f>
        <v>2089</v>
      </c>
    </row>
    <row r="589" spans="1:38" ht="15">
      <c r="A589" s="4" t="s">
        <v>552</v>
      </c>
      <c r="B589" s="5" t="s">
        <v>668</v>
      </c>
      <c r="C589" s="49" t="s">
        <v>578</v>
      </c>
      <c r="D589" s="349">
        <f t="shared" si="53"/>
        <v>96</v>
      </c>
      <c r="E589" s="350" t="s">
        <v>1294</v>
      </c>
      <c r="F589" s="51" t="s">
        <v>154</v>
      </c>
      <c r="G589" s="351" t="s">
        <v>682</v>
      </c>
      <c r="H589" s="351" t="s">
        <v>2554</v>
      </c>
      <c r="I589" s="351" t="s">
        <v>2555</v>
      </c>
      <c r="J589" s="351" t="s">
        <v>4289</v>
      </c>
      <c r="K589" s="354">
        <v>9646</v>
      </c>
      <c r="L589" s="355">
        <v>11237</v>
      </c>
      <c r="M589" s="354">
        <v>6333</v>
      </c>
      <c r="N589" s="355">
        <v>3858</v>
      </c>
      <c r="O589" s="355">
        <v>3016</v>
      </c>
      <c r="P589" s="355">
        <v>3495</v>
      </c>
      <c r="Q589" s="355">
        <v>3172</v>
      </c>
      <c r="R589" s="355">
        <v>1489</v>
      </c>
      <c r="S589" s="355">
        <v>2030</v>
      </c>
      <c r="T589" s="355">
        <v>2683</v>
      </c>
      <c r="U589" s="59">
        <f t="shared" si="54"/>
        <v>1489</v>
      </c>
      <c r="V589" s="59">
        <f t="shared" si="55"/>
        <v>11237</v>
      </c>
      <c r="W589" s="59">
        <f t="shared" si="56"/>
        <v>4695.9</v>
      </c>
      <c r="X589" s="60">
        <f t="shared" si="57"/>
        <v>27.814638191996682</v>
      </c>
      <c r="AC589" s="53"/>
      <c r="AL589" s="65">
        <f>_xlfn.IFERROR(INDEX('Tabela PW'!$T:$T,'Słownik PW'!C589,1),"")</f>
        <v>2683</v>
      </c>
    </row>
    <row r="590" spans="1:38" ht="15">
      <c r="A590" s="4" t="s">
        <v>552</v>
      </c>
      <c r="B590" s="5" t="s">
        <v>668</v>
      </c>
      <c r="C590" s="49" t="s">
        <v>579</v>
      </c>
      <c r="D590" s="349">
        <f t="shared" si="53"/>
        <v>52</v>
      </c>
      <c r="E590" s="350" t="s">
        <v>1295</v>
      </c>
      <c r="F590" s="51" t="s">
        <v>154</v>
      </c>
      <c r="G590" s="351" t="s">
        <v>682</v>
      </c>
      <c r="H590" s="351" t="s">
        <v>2556</v>
      </c>
      <c r="I590" s="351" t="s">
        <v>2557</v>
      </c>
      <c r="J590" s="351" t="s">
        <v>4290</v>
      </c>
      <c r="K590" s="354">
        <v>65169</v>
      </c>
      <c r="L590" s="355">
        <v>55242</v>
      </c>
      <c r="M590" s="354">
        <v>58680</v>
      </c>
      <c r="N590" s="355">
        <v>82741</v>
      </c>
      <c r="O590" s="355">
        <v>89623</v>
      </c>
      <c r="P590" s="355">
        <v>100645</v>
      </c>
      <c r="Q590" s="355">
        <v>104135</v>
      </c>
      <c r="R590" s="355">
        <v>124842</v>
      </c>
      <c r="S590" s="355">
        <v>114318</v>
      </c>
      <c r="T590" s="355">
        <v>116818</v>
      </c>
      <c r="U590" s="59">
        <f t="shared" si="54"/>
        <v>55242</v>
      </c>
      <c r="V590" s="59">
        <f t="shared" si="55"/>
        <v>124842</v>
      </c>
      <c r="W590" s="59">
        <f t="shared" si="56"/>
        <v>91221.3</v>
      </c>
      <c r="X590" s="60">
        <f t="shared" si="57"/>
        <v>179.25393975663275</v>
      </c>
      <c r="AC590" s="53"/>
      <c r="AL590" s="65">
        <f>_xlfn.IFERROR(INDEX('Tabela PW'!$T:$T,'Słownik PW'!C590,1),"")</f>
        <v>116818</v>
      </c>
    </row>
    <row r="591" spans="1:38" ht="15">
      <c r="A591" s="4" t="s">
        <v>552</v>
      </c>
      <c r="B591" s="5" t="s">
        <v>668</v>
      </c>
      <c r="C591" s="49" t="s">
        <v>579</v>
      </c>
      <c r="D591" s="349">
        <f t="shared" si="53"/>
        <v>52</v>
      </c>
      <c r="E591" s="350" t="s">
        <v>1296</v>
      </c>
      <c r="F591" s="51" t="s">
        <v>25</v>
      </c>
      <c r="G591" s="351" t="s">
        <v>683</v>
      </c>
      <c r="H591" s="351" t="s">
        <v>2558</v>
      </c>
      <c r="I591" s="351" t="s">
        <v>2559</v>
      </c>
      <c r="J591" s="351" t="s">
        <v>4291</v>
      </c>
      <c r="K591" s="354">
        <v>9621</v>
      </c>
      <c r="L591" s="355">
        <v>9682</v>
      </c>
      <c r="M591" s="354">
        <v>9796</v>
      </c>
      <c r="N591" s="355">
        <v>13527</v>
      </c>
      <c r="O591" s="355">
        <v>14777</v>
      </c>
      <c r="P591" s="355">
        <v>13825</v>
      </c>
      <c r="Q591" s="355">
        <v>14486</v>
      </c>
      <c r="R591" s="355">
        <v>16317</v>
      </c>
      <c r="S591" s="355">
        <v>17487</v>
      </c>
      <c r="T591" s="355">
        <v>17389</v>
      </c>
      <c r="U591" s="59">
        <f t="shared" si="54"/>
        <v>9621</v>
      </c>
      <c r="V591" s="59">
        <f t="shared" si="55"/>
        <v>17487</v>
      </c>
      <c r="W591" s="59">
        <f t="shared" si="56"/>
        <v>13690.7</v>
      </c>
      <c r="X591" s="60">
        <f t="shared" si="57"/>
        <v>180.74004781207776</v>
      </c>
      <c r="AC591" s="53"/>
      <c r="AL591" s="65">
        <f>_xlfn.IFERROR(INDEX('Tabela PW'!$T:$T,'Słownik PW'!C591,1),"")</f>
        <v>17389</v>
      </c>
    </row>
    <row r="592" spans="1:38" ht="15">
      <c r="A592" s="4" t="s">
        <v>552</v>
      </c>
      <c r="B592" s="5" t="s">
        <v>668</v>
      </c>
      <c r="C592" s="49" t="s">
        <v>580</v>
      </c>
      <c r="D592" s="349">
        <f t="shared" si="53"/>
        <v>115</v>
      </c>
      <c r="E592" s="350" t="s">
        <v>1297</v>
      </c>
      <c r="F592" s="51" t="s">
        <v>154</v>
      </c>
      <c r="G592" s="351" t="s">
        <v>682</v>
      </c>
      <c r="H592" s="351" t="s">
        <v>2560</v>
      </c>
      <c r="I592" s="351" t="s">
        <v>2561</v>
      </c>
      <c r="J592" s="351" t="s">
        <v>4292</v>
      </c>
      <c r="K592" s="354">
        <v>5085</v>
      </c>
      <c r="L592" s="355">
        <v>7942</v>
      </c>
      <c r="M592" s="354">
        <v>7995</v>
      </c>
      <c r="N592" s="355">
        <v>11200</v>
      </c>
      <c r="O592" s="355">
        <v>7791</v>
      </c>
      <c r="P592" s="355">
        <v>7941</v>
      </c>
      <c r="Q592" s="355">
        <v>7749</v>
      </c>
      <c r="R592" s="355">
        <v>7264</v>
      </c>
      <c r="S592" s="355">
        <v>8265</v>
      </c>
      <c r="T592" s="355">
        <v>10528</v>
      </c>
      <c r="U592" s="59">
        <f t="shared" si="54"/>
        <v>5085</v>
      </c>
      <c r="V592" s="59">
        <f t="shared" si="55"/>
        <v>11200</v>
      </c>
      <c r="W592" s="59">
        <f t="shared" si="56"/>
        <v>8176</v>
      </c>
      <c r="X592" s="60">
        <f t="shared" si="57"/>
        <v>207.04031465093414</v>
      </c>
      <c r="AC592" s="53"/>
      <c r="AL592" s="65">
        <f>_xlfn.IFERROR(INDEX('Tabela PW'!$T:$T,'Słownik PW'!C592,1),"")</f>
        <v>10528</v>
      </c>
    </row>
    <row r="593" spans="1:38" ht="15">
      <c r="A593" s="4" t="s">
        <v>552</v>
      </c>
      <c r="B593" s="5" t="s">
        <v>668</v>
      </c>
      <c r="C593" s="49" t="s">
        <v>581</v>
      </c>
      <c r="D593" s="349">
        <f t="shared" si="53"/>
        <v>73</v>
      </c>
      <c r="E593" s="350" t="s">
        <v>1298</v>
      </c>
      <c r="F593" s="51" t="s">
        <v>154</v>
      </c>
      <c r="G593" s="351" t="s">
        <v>682</v>
      </c>
      <c r="H593" s="351" t="s">
        <v>2562</v>
      </c>
      <c r="I593" s="351" t="s">
        <v>2563</v>
      </c>
      <c r="J593" s="351" t="s">
        <v>4293</v>
      </c>
      <c r="K593" s="354">
        <v>34016</v>
      </c>
      <c r="L593" s="355">
        <v>21508</v>
      </c>
      <c r="M593" s="354">
        <v>22326</v>
      </c>
      <c r="N593" s="355">
        <v>31411</v>
      </c>
      <c r="O593" s="355">
        <v>34233</v>
      </c>
      <c r="P593" s="355">
        <v>32653</v>
      </c>
      <c r="Q593" s="355">
        <v>29187</v>
      </c>
      <c r="R593" s="355">
        <v>45848</v>
      </c>
      <c r="S593" s="355">
        <v>30277</v>
      </c>
      <c r="T593" s="355">
        <v>32666</v>
      </c>
      <c r="U593" s="59">
        <f t="shared" si="54"/>
        <v>21508</v>
      </c>
      <c r="V593" s="59">
        <f t="shared" si="55"/>
        <v>45848</v>
      </c>
      <c r="W593" s="59">
        <f t="shared" si="56"/>
        <v>31412.5</v>
      </c>
      <c r="X593" s="60">
        <f t="shared" si="57"/>
        <v>96.03127939793038</v>
      </c>
      <c r="AC593" s="53"/>
      <c r="AL593" s="65">
        <f>_xlfn.IFERROR(INDEX('Tabela PW'!$T:$T,'Słownik PW'!C593,1),"")</f>
        <v>32666</v>
      </c>
    </row>
    <row r="594" spans="1:38" ht="15">
      <c r="A594" s="4" t="s">
        <v>552</v>
      </c>
      <c r="B594" s="5" t="s">
        <v>668</v>
      </c>
      <c r="C594" s="49" t="s">
        <v>582</v>
      </c>
      <c r="D594" s="349">
        <f t="shared" si="53"/>
        <v>59</v>
      </c>
      <c r="E594" s="350" t="s">
        <v>1299</v>
      </c>
      <c r="F594" s="51" t="s">
        <v>154</v>
      </c>
      <c r="G594" s="351" t="s">
        <v>682</v>
      </c>
      <c r="H594" s="351" t="s">
        <v>2564</v>
      </c>
      <c r="I594" s="351" t="s">
        <v>2565</v>
      </c>
      <c r="J594" s="351" t="s">
        <v>4294</v>
      </c>
      <c r="K594" s="354">
        <v>3605</v>
      </c>
      <c r="L594" s="355">
        <v>3661</v>
      </c>
      <c r="M594" s="354">
        <v>3539</v>
      </c>
      <c r="N594" s="355">
        <v>2653</v>
      </c>
      <c r="O594" s="355">
        <v>3551</v>
      </c>
      <c r="P594" s="355">
        <v>3648</v>
      </c>
      <c r="Q594" s="355">
        <v>2935</v>
      </c>
      <c r="R594" s="355">
        <v>3407</v>
      </c>
      <c r="S594" s="355">
        <v>2133</v>
      </c>
      <c r="T594" s="355">
        <v>2071</v>
      </c>
      <c r="U594" s="59">
        <f t="shared" si="54"/>
        <v>2071</v>
      </c>
      <c r="V594" s="59">
        <f t="shared" si="55"/>
        <v>3661</v>
      </c>
      <c r="W594" s="59">
        <f t="shared" si="56"/>
        <v>3120.3</v>
      </c>
      <c r="X594" s="60">
        <f t="shared" si="57"/>
        <v>57.447988904299585</v>
      </c>
      <c r="AC594" s="53"/>
      <c r="AL594" s="65">
        <f>_xlfn.IFERROR(INDEX('Tabela PW'!$T:$T,'Słownik PW'!C594,1),"")</f>
        <v>2071</v>
      </c>
    </row>
    <row r="595" spans="1:38" ht="15">
      <c r="A595" s="4" t="s">
        <v>552</v>
      </c>
      <c r="B595" s="5" t="s">
        <v>668</v>
      </c>
      <c r="C595" s="49" t="s">
        <v>4384</v>
      </c>
      <c r="D595" s="349">
        <f t="shared" si="53"/>
        <v>57</v>
      </c>
      <c r="E595" s="350" t="s">
        <v>1300</v>
      </c>
      <c r="F595" s="51" t="s">
        <v>154</v>
      </c>
      <c r="G595" s="351" t="s">
        <v>682</v>
      </c>
      <c r="H595" s="351" t="s">
        <v>2566</v>
      </c>
      <c r="I595" s="351" t="s">
        <v>2567</v>
      </c>
      <c r="J595" s="351" t="s">
        <v>4295</v>
      </c>
      <c r="K595" s="354">
        <v>2454</v>
      </c>
      <c r="L595" s="355">
        <v>2320</v>
      </c>
      <c r="M595" s="354">
        <v>1482</v>
      </c>
      <c r="N595" s="355">
        <v>1459</v>
      </c>
      <c r="O595" s="355">
        <v>1983</v>
      </c>
      <c r="P595" s="355">
        <v>2035</v>
      </c>
      <c r="Q595" s="355">
        <v>1934</v>
      </c>
      <c r="R595" s="355">
        <v>2053</v>
      </c>
      <c r="S595" s="355">
        <v>1430</v>
      </c>
      <c r="T595" s="355">
        <v>1435</v>
      </c>
      <c r="U595" s="59">
        <f t="shared" si="54"/>
        <v>1430</v>
      </c>
      <c r="V595" s="59">
        <f t="shared" si="55"/>
        <v>2454</v>
      </c>
      <c r="W595" s="59">
        <f t="shared" si="56"/>
        <v>1858.5</v>
      </c>
      <c r="X595" s="60">
        <f t="shared" si="57"/>
        <v>58.475957620211894</v>
      </c>
      <c r="AC595" s="53"/>
      <c r="AL595" s="65">
        <f>_xlfn.IFERROR(INDEX('Tabela PW'!$T:$T,'Słownik PW'!C595,1),"")</f>
        <v>1435</v>
      </c>
    </row>
    <row r="596" spans="1:38" ht="15">
      <c r="A596" s="4" t="s">
        <v>552</v>
      </c>
      <c r="B596" s="5" t="s">
        <v>668</v>
      </c>
      <c r="C596" s="49" t="s">
        <v>583</v>
      </c>
      <c r="D596" s="349">
        <f t="shared" si="53"/>
        <v>46</v>
      </c>
      <c r="E596" s="350" t="s">
        <v>1301</v>
      </c>
      <c r="F596" s="51" t="s">
        <v>154</v>
      </c>
      <c r="G596" s="351" t="s">
        <v>682</v>
      </c>
      <c r="H596" s="351" t="s">
        <v>2568</v>
      </c>
      <c r="I596" s="351" t="s">
        <v>2569</v>
      </c>
      <c r="J596" s="351" t="s">
        <v>4296</v>
      </c>
      <c r="K596" s="354">
        <v>1151</v>
      </c>
      <c r="L596" s="355">
        <v>1341</v>
      </c>
      <c r="M596" s="354">
        <v>2057</v>
      </c>
      <c r="N596" s="355">
        <v>1194</v>
      </c>
      <c r="O596" s="355">
        <v>1568</v>
      </c>
      <c r="P596" s="355">
        <v>1613</v>
      </c>
      <c r="Q596" s="355">
        <v>1001</v>
      </c>
      <c r="R596" s="355">
        <v>1354</v>
      </c>
      <c r="S596" s="355">
        <v>703</v>
      </c>
      <c r="T596" s="355">
        <v>636</v>
      </c>
      <c r="U596" s="59">
        <f t="shared" si="54"/>
        <v>636</v>
      </c>
      <c r="V596" s="59">
        <f t="shared" si="55"/>
        <v>2057</v>
      </c>
      <c r="W596" s="59">
        <f t="shared" si="56"/>
        <v>1261.8</v>
      </c>
      <c r="X596" s="60">
        <f t="shared" si="57"/>
        <v>55.25629887054735</v>
      </c>
      <c r="AC596" s="53"/>
      <c r="AL596" s="65">
        <f>_xlfn.IFERROR(INDEX('Tabela PW'!$T:$T,'Słownik PW'!C596,1),"")</f>
        <v>636</v>
      </c>
    </row>
    <row r="597" spans="1:38" ht="15">
      <c r="A597" s="4" t="s">
        <v>552</v>
      </c>
      <c r="B597" s="5" t="s">
        <v>668</v>
      </c>
      <c r="C597" s="49" t="s">
        <v>584</v>
      </c>
      <c r="D597" s="349">
        <f t="shared" si="53"/>
        <v>5</v>
      </c>
      <c r="E597" s="350" t="s">
        <v>1302</v>
      </c>
      <c r="F597" s="51" t="s">
        <v>154</v>
      </c>
      <c r="G597" s="351" t="s">
        <v>682</v>
      </c>
      <c r="H597" s="351" t="s">
        <v>2570</v>
      </c>
      <c r="I597" s="351" t="s">
        <v>2571</v>
      </c>
      <c r="J597" s="351" t="s">
        <v>4297</v>
      </c>
      <c r="K597" s="354">
        <v>6878</v>
      </c>
      <c r="L597" s="355">
        <v>7561</v>
      </c>
      <c r="M597" s="354">
        <v>9552</v>
      </c>
      <c r="N597" s="355">
        <v>8322</v>
      </c>
      <c r="O597" s="355">
        <v>7990</v>
      </c>
      <c r="P597" s="355">
        <v>7990</v>
      </c>
      <c r="Q597" s="355">
        <v>7324</v>
      </c>
      <c r="R597" s="355">
        <v>8309</v>
      </c>
      <c r="S597" s="355">
        <v>7682</v>
      </c>
      <c r="T597" s="355">
        <v>7608</v>
      </c>
      <c r="U597" s="59">
        <f t="shared" si="54"/>
        <v>6878</v>
      </c>
      <c r="V597" s="59">
        <f t="shared" si="55"/>
        <v>9552</v>
      </c>
      <c r="W597" s="59">
        <f t="shared" si="56"/>
        <v>7921.6</v>
      </c>
      <c r="X597" s="60">
        <f t="shared" si="57"/>
        <v>110.61355045071241</v>
      </c>
      <c r="AC597" s="53"/>
      <c r="AL597" s="65">
        <f>_xlfn.IFERROR(INDEX('Tabela PW'!$T:$T,'Słownik PW'!C597,1),"")</f>
        <v>7608</v>
      </c>
    </row>
    <row r="598" spans="1:38" ht="15">
      <c r="A598" s="4" t="s">
        <v>552</v>
      </c>
      <c r="B598" s="5" t="s">
        <v>668</v>
      </c>
      <c r="C598" s="49" t="s">
        <v>585</v>
      </c>
      <c r="D598" s="349">
        <f t="shared" si="53"/>
        <v>26</v>
      </c>
      <c r="E598" s="350" t="s">
        <v>1303</v>
      </c>
      <c r="F598" s="51" t="s">
        <v>154</v>
      </c>
      <c r="G598" s="351" t="s">
        <v>682</v>
      </c>
      <c r="H598" s="351" t="s">
        <v>2572</v>
      </c>
      <c r="I598" s="351" t="s">
        <v>2573</v>
      </c>
      <c r="J598" s="351" t="s">
        <v>4298</v>
      </c>
      <c r="K598" s="354">
        <v>7907</v>
      </c>
      <c r="L598" s="355">
        <v>9482</v>
      </c>
      <c r="M598" s="354">
        <v>10325</v>
      </c>
      <c r="N598" s="355">
        <v>9335</v>
      </c>
      <c r="O598" s="355">
        <v>9437</v>
      </c>
      <c r="P598" s="355">
        <v>9864</v>
      </c>
      <c r="Q598" s="355">
        <v>9190</v>
      </c>
      <c r="R598" s="355">
        <v>11796</v>
      </c>
      <c r="S598" s="355">
        <v>10635</v>
      </c>
      <c r="T598" s="355">
        <v>10028</v>
      </c>
      <c r="U598" s="59">
        <f t="shared" si="54"/>
        <v>7907</v>
      </c>
      <c r="V598" s="59">
        <f t="shared" si="55"/>
        <v>11796</v>
      </c>
      <c r="W598" s="59">
        <f t="shared" si="56"/>
        <v>9799.9</v>
      </c>
      <c r="X598" s="60">
        <f t="shared" si="57"/>
        <v>126.82433286960921</v>
      </c>
      <c r="AC598" s="53"/>
      <c r="AL598" s="65">
        <f>_xlfn.IFERROR(INDEX('Tabela PW'!$T:$T,'Słownik PW'!C598,1),"")</f>
        <v>10028</v>
      </c>
    </row>
    <row r="599" spans="1:38" ht="15">
      <c r="A599" s="4" t="s">
        <v>552</v>
      </c>
      <c r="B599" s="5" t="s">
        <v>668</v>
      </c>
      <c r="C599" s="49" t="s">
        <v>586</v>
      </c>
      <c r="D599" s="349">
        <f t="shared" si="53"/>
        <v>11</v>
      </c>
      <c r="E599" s="350" t="s">
        <v>1304</v>
      </c>
      <c r="F599" s="51" t="s">
        <v>154</v>
      </c>
      <c r="G599" s="351" t="s">
        <v>682</v>
      </c>
      <c r="H599" s="351" t="s">
        <v>2574</v>
      </c>
      <c r="I599" s="351" t="s">
        <v>2575</v>
      </c>
      <c r="J599" s="351" t="s">
        <v>4299</v>
      </c>
      <c r="K599" s="354">
        <v>4459</v>
      </c>
      <c r="L599" s="355">
        <v>5682</v>
      </c>
      <c r="M599" s="354">
        <v>6271</v>
      </c>
      <c r="N599" s="355">
        <v>5916</v>
      </c>
      <c r="O599" s="355">
        <v>6331</v>
      </c>
      <c r="P599" s="355">
        <v>7110</v>
      </c>
      <c r="Q599" s="355">
        <v>6560</v>
      </c>
      <c r="R599" s="355">
        <v>8847</v>
      </c>
      <c r="S599" s="355">
        <v>8452</v>
      </c>
      <c r="T599" s="355">
        <v>8014</v>
      </c>
      <c r="U599" s="59">
        <f t="shared" si="54"/>
        <v>4459</v>
      </c>
      <c r="V599" s="59">
        <f t="shared" si="55"/>
        <v>8847</v>
      </c>
      <c r="W599" s="59">
        <f t="shared" si="56"/>
        <v>6764.2</v>
      </c>
      <c r="X599" s="60">
        <f t="shared" si="57"/>
        <v>179.72639605292667</v>
      </c>
      <c r="AC599" s="53"/>
      <c r="AL599" s="65">
        <f>_xlfn.IFERROR(INDEX('Tabela PW'!$T:$T,'Słownik PW'!C599,1),"")</f>
        <v>8014</v>
      </c>
    </row>
    <row r="600" spans="1:38" ht="15">
      <c r="A600" s="4" t="s">
        <v>552</v>
      </c>
      <c r="B600" s="5" t="s">
        <v>668</v>
      </c>
      <c r="C600" s="49" t="s">
        <v>587</v>
      </c>
      <c r="D600" s="349">
        <f t="shared" si="53"/>
        <v>15</v>
      </c>
      <c r="E600" s="350" t="s">
        <v>1305</v>
      </c>
      <c r="F600" s="51" t="s">
        <v>154</v>
      </c>
      <c r="G600" s="351" t="s">
        <v>682</v>
      </c>
      <c r="H600" s="351" t="s">
        <v>2576</v>
      </c>
      <c r="I600" s="351" t="s">
        <v>2577</v>
      </c>
      <c r="J600" s="351" t="s">
        <v>4300</v>
      </c>
      <c r="K600" s="354">
        <v>3324</v>
      </c>
      <c r="L600" s="355">
        <v>2434</v>
      </c>
      <c r="M600" s="354">
        <v>3367</v>
      </c>
      <c r="N600" s="355">
        <v>2915</v>
      </c>
      <c r="O600" s="355">
        <v>3867</v>
      </c>
      <c r="P600" s="355">
        <v>4591</v>
      </c>
      <c r="Q600" s="355">
        <v>3948</v>
      </c>
      <c r="R600" s="355">
        <v>4334</v>
      </c>
      <c r="S600" s="355">
        <v>5198</v>
      </c>
      <c r="T600" s="355">
        <v>4647</v>
      </c>
      <c r="U600" s="59">
        <f t="shared" si="54"/>
        <v>2434</v>
      </c>
      <c r="V600" s="59">
        <f t="shared" si="55"/>
        <v>5198</v>
      </c>
      <c r="W600" s="59">
        <f t="shared" si="56"/>
        <v>3862.5</v>
      </c>
      <c r="X600" s="60">
        <f t="shared" si="57"/>
        <v>139.8014440433213</v>
      </c>
      <c r="AC600" s="53"/>
      <c r="AL600" s="65">
        <f>_xlfn.IFERROR(INDEX('Tabela PW'!$T:$T,'Słownik PW'!C600,1),"")</f>
        <v>4647</v>
      </c>
    </row>
    <row r="601" spans="1:38" ht="15">
      <c r="A601" s="4" t="s">
        <v>552</v>
      </c>
      <c r="B601" s="5" t="s">
        <v>668</v>
      </c>
      <c r="C601" s="49" t="s">
        <v>588</v>
      </c>
      <c r="D601" s="349">
        <f t="shared" si="53"/>
        <v>36</v>
      </c>
      <c r="E601" s="350" t="s">
        <v>1306</v>
      </c>
      <c r="F601" s="51" t="s">
        <v>154</v>
      </c>
      <c r="G601" s="351" t="s">
        <v>682</v>
      </c>
      <c r="H601" s="351" t="s">
        <v>2578</v>
      </c>
      <c r="I601" s="351" t="s">
        <v>2579</v>
      </c>
      <c r="J601" s="351" t="s">
        <v>4301</v>
      </c>
      <c r="K601" s="354">
        <v>3393</v>
      </c>
      <c r="L601" s="355">
        <v>2762</v>
      </c>
      <c r="M601" s="354">
        <v>2296</v>
      </c>
      <c r="N601" s="355">
        <v>2001</v>
      </c>
      <c r="O601" s="355">
        <v>1376</v>
      </c>
      <c r="P601" s="355">
        <v>1085</v>
      </c>
      <c r="Q601" s="355">
        <v>1753</v>
      </c>
      <c r="R601" s="355">
        <v>2799</v>
      </c>
      <c r="S601" s="355">
        <v>4324</v>
      </c>
      <c r="T601" s="355">
        <v>4120</v>
      </c>
      <c r="U601" s="59">
        <f t="shared" si="54"/>
        <v>1085</v>
      </c>
      <c r="V601" s="59">
        <f t="shared" si="55"/>
        <v>4324</v>
      </c>
      <c r="W601" s="59">
        <f t="shared" si="56"/>
        <v>2590.9</v>
      </c>
      <c r="X601" s="60">
        <f t="shared" si="57"/>
        <v>121.42646625405247</v>
      </c>
      <c r="AC601" s="53"/>
      <c r="AL601" s="65">
        <f>_xlfn.IFERROR(INDEX('Tabela PW'!$T:$T,'Słownik PW'!C601,1),"")</f>
        <v>4120</v>
      </c>
    </row>
    <row r="602" spans="1:38" ht="15">
      <c r="A602" s="4" t="s">
        <v>552</v>
      </c>
      <c r="B602" s="5" t="s">
        <v>668</v>
      </c>
      <c r="C602" s="49" t="s">
        <v>589</v>
      </c>
      <c r="D602" s="349">
        <f t="shared" si="53"/>
        <v>13</v>
      </c>
      <c r="E602" s="350" t="s">
        <v>1307</v>
      </c>
      <c r="F602" s="51" t="s">
        <v>154</v>
      </c>
      <c r="G602" s="351" t="s">
        <v>682</v>
      </c>
      <c r="H602" s="351" t="s">
        <v>2580</v>
      </c>
      <c r="I602" s="351" t="s">
        <v>2581</v>
      </c>
      <c r="J602" s="351" t="s">
        <v>4302</v>
      </c>
      <c r="K602" s="354">
        <v>1703</v>
      </c>
      <c r="L602" s="355">
        <v>1604</v>
      </c>
      <c r="M602" s="354">
        <v>1456</v>
      </c>
      <c r="N602" s="355">
        <v>3736</v>
      </c>
      <c r="O602" s="355">
        <v>3761</v>
      </c>
      <c r="P602" s="355">
        <v>3965</v>
      </c>
      <c r="Q602" s="355">
        <v>3964</v>
      </c>
      <c r="R602" s="355">
        <v>4826</v>
      </c>
      <c r="S602" s="355">
        <v>4720</v>
      </c>
      <c r="T602" s="355">
        <v>3583</v>
      </c>
      <c r="U602" s="59">
        <f t="shared" si="54"/>
        <v>1456</v>
      </c>
      <c r="V602" s="59">
        <f t="shared" si="55"/>
        <v>4826</v>
      </c>
      <c r="W602" s="59">
        <f t="shared" si="56"/>
        <v>3331.8</v>
      </c>
      <c r="X602" s="60">
        <f t="shared" si="57"/>
        <v>210.3934233705226</v>
      </c>
      <c r="AC602" s="53"/>
      <c r="AL602" s="65">
        <f>_xlfn.IFERROR(INDEX('Tabela PW'!$T:$T,'Słownik PW'!C602,1),"")</f>
        <v>3583</v>
      </c>
    </row>
    <row r="603" spans="1:38" ht="15">
      <c r="A603" s="4" t="s">
        <v>552</v>
      </c>
      <c r="B603" s="5" t="s">
        <v>668</v>
      </c>
      <c r="C603" s="49" t="s">
        <v>590</v>
      </c>
      <c r="D603" s="349">
        <f t="shared" si="53"/>
        <v>15</v>
      </c>
      <c r="E603" s="350" t="s">
        <v>1308</v>
      </c>
      <c r="F603" s="51" t="s">
        <v>154</v>
      </c>
      <c r="G603" s="351" t="s">
        <v>682</v>
      </c>
      <c r="H603" s="351" t="s">
        <v>2582</v>
      </c>
      <c r="I603" s="351" t="s">
        <v>2583</v>
      </c>
      <c r="J603" s="351" t="s">
        <v>4303</v>
      </c>
      <c r="K603" s="354">
        <v>4658</v>
      </c>
      <c r="L603" s="355">
        <v>4316</v>
      </c>
      <c r="M603" s="354">
        <v>6199</v>
      </c>
      <c r="N603" s="355">
        <v>5364</v>
      </c>
      <c r="O603" s="355">
        <v>4318</v>
      </c>
      <c r="P603" s="355">
        <v>6097</v>
      </c>
      <c r="Q603" s="355">
        <v>4518</v>
      </c>
      <c r="R603" s="355">
        <v>5185</v>
      </c>
      <c r="S603" s="355">
        <v>5459</v>
      </c>
      <c r="T603" s="355">
        <v>4611</v>
      </c>
      <c r="U603" s="59">
        <f t="shared" si="54"/>
        <v>4316</v>
      </c>
      <c r="V603" s="59">
        <f t="shared" si="55"/>
        <v>6199</v>
      </c>
      <c r="W603" s="59">
        <f t="shared" si="56"/>
        <v>5072.5</v>
      </c>
      <c r="X603" s="60">
        <f t="shared" si="57"/>
        <v>98.99098325461571</v>
      </c>
      <c r="AC603" s="53"/>
      <c r="AL603" s="65">
        <f>_xlfn.IFERROR(INDEX('Tabela PW'!$T:$T,'Słownik PW'!C603,1),"")</f>
        <v>4611</v>
      </c>
    </row>
    <row r="604" spans="1:38" ht="15">
      <c r="A604" s="4" t="s">
        <v>552</v>
      </c>
      <c r="B604" s="5" t="s">
        <v>668</v>
      </c>
      <c r="C604" s="49" t="s">
        <v>591</v>
      </c>
      <c r="D604" s="349">
        <f t="shared" si="53"/>
        <v>22</v>
      </c>
      <c r="E604" s="350" t="s">
        <v>1309</v>
      </c>
      <c r="F604" s="51" t="s">
        <v>154</v>
      </c>
      <c r="G604" s="351" t="s">
        <v>682</v>
      </c>
      <c r="H604" s="351" t="s">
        <v>2584</v>
      </c>
      <c r="I604" s="351" t="s">
        <v>2585</v>
      </c>
      <c r="J604" s="351" t="s">
        <v>4304</v>
      </c>
      <c r="K604" s="354">
        <v>4391</v>
      </c>
      <c r="L604" s="355">
        <v>3695</v>
      </c>
      <c r="M604" s="354">
        <v>3094</v>
      </c>
      <c r="N604" s="355">
        <v>2767</v>
      </c>
      <c r="O604" s="355">
        <v>3199</v>
      </c>
      <c r="P604" s="355">
        <v>3352</v>
      </c>
      <c r="Q604" s="355">
        <v>3057</v>
      </c>
      <c r="R604" s="355">
        <v>2892</v>
      </c>
      <c r="S604" s="355">
        <v>1976</v>
      </c>
      <c r="T604" s="355">
        <v>1989</v>
      </c>
      <c r="U604" s="59">
        <f t="shared" si="54"/>
        <v>1976</v>
      </c>
      <c r="V604" s="59">
        <f t="shared" si="55"/>
        <v>4391</v>
      </c>
      <c r="W604" s="59">
        <f t="shared" si="56"/>
        <v>3041.2</v>
      </c>
      <c r="X604" s="60">
        <f t="shared" si="57"/>
        <v>45.29719881575951</v>
      </c>
      <c r="AC604" s="53"/>
      <c r="AL604" s="65">
        <f>_xlfn.IFERROR(INDEX('Tabela PW'!$T:$T,'Słownik PW'!C604,1),"")</f>
        <v>1989</v>
      </c>
    </row>
    <row r="605" spans="1:38" ht="15">
      <c r="A605" s="4" t="s">
        <v>552</v>
      </c>
      <c r="B605" s="5" t="s">
        <v>668</v>
      </c>
      <c r="C605" s="49" t="s">
        <v>592</v>
      </c>
      <c r="D605" s="349">
        <f t="shared" si="53"/>
        <v>47</v>
      </c>
      <c r="E605" s="350" t="s">
        <v>1310</v>
      </c>
      <c r="F605" s="51" t="s">
        <v>154</v>
      </c>
      <c r="G605" s="351" t="s">
        <v>682</v>
      </c>
      <c r="H605" s="351" t="s">
        <v>2586</v>
      </c>
      <c r="I605" s="351" t="s">
        <v>2587</v>
      </c>
      <c r="J605" s="351" t="s">
        <v>4305</v>
      </c>
      <c r="K605" s="354">
        <v>2911</v>
      </c>
      <c r="L605" s="355">
        <v>3332</v>
      </c>
      <c r="M605" s="354">
        <v>7236</v>
      </c>
      <c r="N605" s="355">
        <v>7425</v>
      </c>
      <c r="O605" s="355">
        <v>7249</v>
      </c>
      <c r="P605" s="355">
        <v>6041</v>
      </c>
      <c r="Q605" s="355">
        <v>7991</v>
      </c>
      <c r="R605" s="355">
        <v>9968</v>
      </c>
      <c r="S605" s="355">
        <v>9694</v>
      </c>
      <c r="T605" s="355">
        <v>9717</v>
      </c>
      <c r="U605" s="59">
        <f t="shared" si="54"/>
        <v>2911</v>
      </c>
      <c r="V605" s="59">
        <f t="shared" si="55"/>
        <v>9968</v>
      </c>
      <c r="W605" s="59">
        <f t="shared" si="56"/>
        <v>7156.4</v>
      </c>
      <c r="X605" s="60">
        <f t="shared" si="57"/>
        <v>333.80281690140845</v>
      </c>
      <c r="AC605" s="53"/>
      <c r="AL605" s="65">
        <f>_xlfn.IFERROR(INDEX('Tabela PW'!$T:$T,'Słownik PW'!C605,1),"")</f>
        <v>9717</v>
      </c>
    </row>
    <row r="606" spans="1:38" ht="15">
      <c r="A606" s="4" t="s">
        <v>552</v>
      </c>
      <c r="B606" s="5" t="s">
        <v>668</v>
      </c>
      <c r="C606" s="49" t="s">
        <v>593</v>
      </c>
      <c r="D606" s="349">
        <f t="shared" si="53"/>
        <v>30</v>
      </c>
      <c r="E606" s="350" t="s">
        <v>1311</v>
      </c>
      <c r="F606" s="51" t="s">
        <v>154</v>
      </c>
      <c r="G606" s="351" t="s">
        <v>682</v>
      </c>
      <c r="H606" s="351" t="s">
        <v>2588</v>
      </c>
      <c r="I606" s="351" t="s">
        <v>2589</v>
      </c>
      <c r="J606" s="351" t="s">
        <v>4306</v>
      </c>
      <c r="K606" s="354">
        <v>6195</v>
      </c>
      <c r="L606" s="355">
        <v>8632</v>
      </c>
      <c r="M606" s="354">
        <v>10004</v>
      </c>
      <c r="N606" s="355">
        <v>8531</v>
      </c>
      <c r="O606" s="355">
        <v>10457</v>
      </c>
      <c r="P606" s="355">
        <v>13665</v>
      </c>
      <c r="Q606" s="355">
        <v>14101</v>
      </c>
      <c r="R606" s="355">
        <v>14494</v>
      </c>
      <c r="S606" s="355">
        <v>12161</v>
      </c>
      <c r="T606" s="355">
        <v>15072</v>
      </c>
      <c r="U606" s="59">
        <f t="shared" si="54"/>
        <v>6195</v>
      </c>
      <c r="V606" s="59">
        <f t="shared" si="55"/>
        <v>15072</v>
      </c>
      <c r="W606" s="59">
        <f t="shared" si="56"/>
        <v>11331.2</v>
      </c>
      <c r="X606" s="60">
        <f t="shared" si="57"/>
        <v>243.29297820823243</v>
      </c>
      <c r="AC606" s="53"/>
      <c r="AL606" s="65">
        <f>_xlfn.IFERROR(INDEX('Tabela PW'!$T:$T,'Słownik PW'!C606,1),"")</f>
        <v>15072</v>
      </c>
    </row>
    <row r="607" spans="1:38" ht="15">
      <c r="A607" s="4" t="s">
        <v>552</v>
      </c>
      <c r="B607" s="5" t="s">
        <v>668</v>
      </c>
      <c r="C607" s="49" t="s">
        <v>594</v>
      </c>
      <c r="D607" s="349">
        <f t="shared" si="53"/>
        <v>22</v>
      </c>
      <c r="E607" s="350" t="s">
        <v>1312</v>
      </c>
      <c r="F607" s="51" t="s">
        <v>154</v>
      </c>
      <c r="G607" s="351" t="s">
        <v>682</v>
      </c>
      <c r="H607" s="351" t="s">
        <v>2590</v>
      </c>
      <c r="I607" s="351" t="s">
        <v>2591</v>
      </c>
      <c r="J607" s="351" t="s">
        <v>4307</v>
      </c>
      <c r="K607" s="354">
        <v>500</v>
      </c>
      <c r="L607" s="355">
        <v>677</v>
      </c>
      <c r="M607" s="354">
        <v>492</v>
      </c>
      <c r="N607" s="355">
        <v>1875</v>
      </c>
      <c r="O607" s="355">
        <v>2746</v>
      </c>
      <c r="P607" s="355">
        <v>1625</v>
      </c>
      <c r="Q607" s="355">
        <v>1826</v>
      </c>
      <c r="R607" s="355">
        <v>2250</v>
      </c>
      <c r="S607" s="355">
        <v>2543</v>
      </c>
      <c r="T607" s="355">
        <v>2738</v>
      </c>
      <c r="U607" s="59">
        <f t="shared" si="54"/>
        <v>492</v>
      </c>
      <c r="V607" s="59">
        <f t="shared" si="55"/>
        <v>2746</v>
      </c>
      <c r="W607" s="59">
        <f t="shared" si="56"/>
        <v>1727.2</v>
      </c>
      <c r="X607" s="60">
        <f t="shared" si="57"/>
        <v>547.6</v>
      </c>
      <c r="AC607" s="53"/>
      <c r="AL607" s="65">
        <f>_xlfn.IFERROR(INDEX('Tabela PW'!$T:$T,'Słownik PW'!C607,1),"")</f>
        <v>2738</v>
      </c>
    </row>
    <row r="608" spans="1:38" ht="15">
      <c r="A608" s="4" t="s">
        <v>552</v>
      </c>
      <c r="B608" s="5" t="s">
        <v>668</v>
      </c>
      <c r="C608" s="49" t="s">
        <v>595</v>
      </c>
      <c r="D608" s="349">
        <f t="shared" si="53"/>
        <v>34</v>
      </c>
      <c r="E608" s="350" t="s">
        <v>1313</v>
      </c>
      <c r="F608" s="51" t="s">
        <v>154</v>
      </c>
      <c r="G608" s="351" t="s">
        <v>682</v>
      </c>
      <c r="H608" s="351" t="s">
        <v>2592</v>
      </c>
      <c r="I608" s="351" t="s">
        <v>2593</v>
      </c>
      <c r="J608" s="351" t="s">
        <v>4308</v>
      </c>
      <c r="K608" s="354">
        <v>1230</v>
      </c>
      <c r="L608" s="355">
        <v>1615</v>
      </c>
      <c r="M608" s="354">
        <v>1798</v>
      </c>
      <c r="N608" s="355">
        <v>2426</v>
      </c>
      <c r="O608" s="355">
        <v>1872</v>
      </c>
      <c r="P608" s="355">
        <v>1374</v>
      </c>
      <c r="Q608" s="355">
        <v>1048</v>
      </c>
      <c r="R608" s="355">
        <v>1160</v>
      </c>
      <c r="S608" s="355">
        <v>1205</v>
      </c>
      <c r="T608" s="355">
        <v>1040</v>
      </c>
      <c r="U608" s="59">
        <f t="shared" si="54"/>
        <v>1040</v>
      </c>
      <c r="V608" s="59">
        <f t="shared" si="55"/>
        <v>2426</v>
      </c>
      <c r="W608" s="59">
        <f t="shared" si="56"/>
        <v>1476.8</v>
      </c>
      <c r="X608" s="60">
        <f t="shared" si="57"/>
        <v>84.5528455284553</v>
      </c>
      <c r="AC608" s="53"/>
      <c r="AL608" s="65">
        <f>_xlfn.IFERROR(INDEX('Tabela PW'!$T:$T,'Słownik PW'!C608,1),"")</f>
        <v>1040</v>
      </c>
    </row>
    <row r="609" spans="1:38" ht="15">
      <c r="A609" s="4" t="s">
        <v>552</v>
      </c>
      <c r="B609" s="5" t="s">
        <v>668</v>
      </c>
      <c r="C609" s="49" t="s">
        <v>596</v>
      </c>
      <c r="D609" s="349">
        <f t="shared" si="53"/>
        <v>34</v>
      </c>
      <c r="E609" s="350" t="s">
        <v>1314</v>
      </c>
      <c r="F609" s="51" t="s">
        <v>154</v>
      </c>
      <c r="G609" s="351" t="s">
        <v>682</v>
      </c>
      <c r="H609" s="351" t="s">
        <v>2594</v>
      </c>
      <c r="I609" s="351" t="s">
        <v>2595</v>
      </c>
      <c r="J609" s="351" t="s">
        <v>4309</v>
      </c>
      <c r="K609" s="354">
        <v>10367</v>
      </c>
      <c r="L609" s="355">
        <v>11625</v>
      </c>
      <c r="M609" s="354">
        <v>11729</v>
      </c>
      <c r="N609" s="355">
        <v>11205</v>
      </c>
      <c r="O609" s="355">
        <v>9812</v>
      </c>
      <c r="P609" s="355">
        <v>10094</v>
      </c>
      <c r="Q609" s="355">
        <v>8301</v>
      </c>
      <c r="R609" s="355">
        <v>9967</v>
      </c>
      <c r="S609" s="355">
        <v>10033</v>
      </c>
      <c r="T609" s="355">
        <v>9431</v>
      </c>
      <c r="U609" s="59">
        <f t="shared" si="54"/>
        <v>8301</v>
      </c>
      <c r="V609" s="59">
        <f t="shared" si="55"/>
        <v>11729</v>
      </c>
      <c r="W609" s="59">
        <f t="shared" si="56"/>
        <v>10256.4</v>
      </c>
      <c r="X609" s="60">
        <f t="shared" si="57"/>
        <v>90.97135140349185</v>
      </c>
      <c r="AC609" s="53"/>
      <c r="AL609" s="65">
        <f>_xlfn.IFERROR(INDEX('Tabela PW'!$T:$T,'Słownik PW'!C609,1),"")</f>
        <v>9431</v>
      </c>
    </row>
    <row r="610" spans="1:38" ht="15">
      <c r="A610" s="4" t="s">
        <v>552</v>
      </c>
      <c r="B610" s="5" t="s">
        <v>668</v>
      </c>
      <c r="C610" s="49" t="s">
        <v>597</v>
      </c>
      <c r="D610" s="349">
        <f t="shared" si="53"/>
        <v>30</v>
      </c>
      <c r="E610" s="350" t="s">
        <v>1315</v>
      </c>
      <c r="F610" s="51" t="s">
        <v>154</v>
      </c>
      <c r="G610" s="351" t="s">
        <v>682</v>
      </c>
      <c r="H610" s="351" t="s">
        <v>2596</v>
      </c>
      <c r="I610" s="351" t="s">
        <v>2597</v>
      </c>
      <c r="J610" s="351" t="s">
        <v>4310</v>
      </c>
      <c r="K610" s="354">
        <v>9654</v>
      </c>
      <c r="L610" s="355">
        <v>11190</v>
      </c>
      <c r="M610" s="354">
        <v>11182</v>
      </c>
      <c r="N610" s="355">
        <v>10745</v>
      </c>
      <c r="O610" s="355">
        <v>9383</v>
      </c>
      <c r="P610" s="355">
        <v>9763</v>
      </c>
      <c r="Q610" s="355">
        <v>8060</v>
      </c>
      <c r="R610" s="355">
        <v>9706</v>
      </c>
      <c r="S610" s="355">
        <v>9563</v>
      </c>
      <c r="T610" s="355">
        <v>9058</v>
      </c>
      <c r="U610" s="59">
        <f t="shared" si="54"/>
        <v>8060</v>
      </c>
      <c r="V610" s="59">
        <f t="shared" si="55"/>
        <v>11190</v>
      </c>
      <c r="W610" s="59">
        <f t="shared" si="56"/>
        <v>9830.4</v>
      </c>
      <c r="X610" s="60">
        <f t="shared" si="57"/>
        <v>93.82639320488917</v>
      </c>
      <c r="AC610" s="53"/>
      <c r="AL610" s="65">
        <f>_xlfn.IFERROR(INDEX('Tabela PW'!$T:$T,'Słownik PW'!C610,1),"")</f>
        <v>9058</v>
      </c>
    </row>
    <row r="611" spans="1:38" ht="15">
      <c r="A611" s="4" t="s">
        <v>552</v>
      </c>
      <c r="B611" s="5" t="s">
        <v>668</v>
      </c>
      <c r="C611" s="49" t="s">
        <v>598</v>
      </c>
      <c r="D611" s="349">
        <f t="shared" si="53"/>
        <v>56</v>
      </c>
      <c r="E611" s="350" t="s">
        <v>1316</v>
      </c>
      <c r="F611" s="51" t="s">
        <v>154</v>
      </c>
      <c r="G611" s="351" t="s">
        <v>682</v>
      </c>
      <c r="H611" s="351" t="s">
        <v>2598</v>
      </c>
      <c r="I611" s="351" t="s">
        <v>2599</v>
      </c>
      <c r="J611" s="351" t="s">
        <v>4311</v>
      </c>
      <c r="K611" s="354">
        <v>161</v>
      </c>
      <c r="L611" s="355">
        <v>428</v>
      </c>
      <c r="M611" s="354">
        <v>391</v>
      </c>
      <c r="N611" s="355">
        <v>369</v>
      </c>
      <c r="O611" s="355">
        <v>347</v>
      </c>
      <c r="P611" s="355">
        <v>237</v>
      </c>
      <c r="Q611" s="355">
        <v>105</v>
      </c>
      <c r="R611" s="355">
        <v>231</v>
      </c>
      <c r="S611" s="355">
        <v>343</v>
      </c>
      <c r="T611" s="355">
        <v>311</v>
      </c>
      <c r="U611" s="59">
        <f t="shared" si="54"/>
        <v>105</v>
      </c>
      <c r="V611" s="59">
        <f t="shared" si="55"/>
        <v>428</v>
      </c>
      <c r="W611" s="59">
        <f t="shared" si="56"/>
        <v>292.3</v>
      </c>
      <c r="X611" s="60">
        <f t="shared" si="57"/>
        <v>193.16770186335404</v>
      </c>
      <c r="AC611" s="53"/>
      <c r="AL611" s="65">
        <f>_xlfn.IFERROR(INDEX('Tabela PW'!$T:$T,'Słownik PW'!C611,1),"")</f>
        <v>311</v>
      </c>
    </row>
    <row r="612" spans="1:38" ht="15">
      <c r="A612" s="4" t="s">
        <v>552</v>
      </c>
      <c r="B612" s="5" t="s">
        <v>668</v>
      </c>
      <c r="C612" s="49" t="s">
        <v>4385</v>
      </c>
      <c r="D612" s="349">
        <f t="shared" si="53"/>
        <v>77</v>
      </c>
      <c r="E612" s="350" t="s">
        <v>1317</v>
      </c>
      <c r="F612" s="51" t="s">
        <v>154</v>
      </c>
      <c r="G612" s="351" t="s">
        <v>682</v>
      </c>
      <c r="H612" s="351" t="s">
        <v>2600</v>
      </c>
      <c r="I612" s="351" t="s">
        <v>2601</v>
      </c>
      <c r="J612" s="351" t="s">
        <v>4312</v>
      </c>
      <c r="K612" s="354">
        <v>7687</v>
      </c>
      <c r="L612" s="355">
        <v>10813</v>
      </c>
      <c r="M612" s="354">
        <v>12028</v>
      </c>
      <c r="N612" s="355">
        <v>10535</v>
      </c>
      <c r="O612" s="355">
        <v>11056</v>
      </c>
      <c r="P612" s="355">
        <v>13290</v>
      </c>
      <c r="Q612" s="355">
        <v>9471</v>
      </c>
      <c r="R612" s="355">
        <v>11896</v>
      </c>
      <c r="S612" s="355">
        <v>12153</v>
      </c>
      <c r="T612" s="355">
        <v>12561</v>
      </c>
      <c r="U612" s="59">
        <f t="shared" si="54"/>
        <v>7687</v>
      </c>
      <c r="V612" s="59">
        <f t="shared" si="55"/>
        <v>13290</v>
      </c>
      <c r="W612" s="59">
        <f t="shared" si="56"/>
        <v>11149</v>
      </c>
      <c r="X612" s="60">
        <f t="shared" si="57"/>
        <v>163.40574996747756</v>
      </c>
      <c r="AC612" s="53"/>
      <c r="AL612" s="65">
        <f>_xlfn.IFERROR(INDEX('Tabela PW'!$T:$T,'Słownik PW'!C612,1),"")</f>
        <v>12561</v>
      </c>
    </row>
    <row r="613" spans="1:38" ht="15">
      <c r="A613" s="4" t="s">
        <v>552</v>
      </c>
      <c r="B613" s="5" t="s">
        <v>668</v>
      </c>
      <c r="C613" s="49" t="s">
        <v>599</v>
      </c>
      <c r="D613" s="349">
        <f t="shared" si="53"/>
        <v>15</v>
      </c>
      <c r="E613" s="350" t="s">
        <v>1318</v>
      </c>
      <c r="F613" s="51" t="s">
        <v>154</v>
      </c>
      <c r="G613" s="351" t="s">
        <v>682</v>
      </c>
      <c r="H613" s="351" t="s">
        <v>2602</v>
      </c>
      <c r="I613" s="351" t="s">
        <v>2603</v>
      </c>
      <c r="J613" s="351" t="s">
        <v>4313</v>
      </c>
      <c r="K613" s="354">
        <v>7132</v>
      </c>
      <c r="L613" s="355">
        <v>6348</v>
      </c>
      <c r="M613" s="354">
        <v>7832</v>
      </c>
      <c r="N613" s="355">
        <v>5366</v>
      </c>
      <c r="O613" s="355">
        <v>4412</v>
      </c>
      <c r="P613" s="355">
        <v>6992</v>
      </c>
      <c r="Q613" s="355">
        <v>4496</v>
      </c>
      <c r="R613" s="355">
        <v>3985</v>
      </c>
      <c r="S613" s="355">
        <v>3685</v>
      </c>
      <c r="T613" s="355">
        <v>4477</v>
      </c>
      <c r="U613" s="59">
        <f t="shared" si="54"/>
        <v>3685</v>
      </c>
      <c r="V613" s="59">
        <f t="shared" si="55"/>
        <v>7832</v>
      </c>
      <c r="W613" s="59">
        <f t="shared" si="56"/>
        <v>5472.5</v>
      </c>
      <c r="X613" s="60">
        <f t="shared" si="57"/>
        <v>62.77341559169939</v>
      </c>
      <c r="AC613" s="53"/>
      <c r="AL613" s="65">
        <f>_xlfn.IFERROR(INDEX('Tabela PW'!$T:$T,'Słownik PW'!C613,1),"")</f>
        <v>4477</v>
      </c>
    </row>
    <row r="614" spans="1:38" ht="15">
      <c r="A614" s="4" t="s">
        <v>552</v>
      </c>
      <c r="B614" s="5" t="s">
        <v>668</v>
      </c>
      <c r="C614" s="49" t="s">
        <v>600</v>
      </c>
      <c r="D614" s="349">
        <f t="shared" si="53"/>
        <v>38</v>
      </c>
      <c r="E614" s="350" t="s">
        <v>1319</v>
      </c>
      <c r="F614" s="51" t="s">
        <v>154</v>
      </c>
      <c r="G614" s="351" t="s">
        <v>682</v>
      </c>
      <c r="H614" s="351" t="s">
        <v>2604</v>
      </c>
      <c r="I614" s="351" t="s">
        <v>2605</v>
      </c>
      <c r="J614" s="351" t="s">
        <v>4314</v>
      </c>
      <c r="K614" s="354">
        <v>529</v>
      </c>
      <c r="L614" s="355">
        <v>371</v>
      </c>
      <c r="M614" s="354">
        <v>433</v>
      </c>
      <c r="N614" s="355">
        <v>313</v>
      </c>
      <c r="O614" s="355">
        <v>139</v>
      </c>
      <c r="P614" s="355">
        <v>48</v>
      </c>
      <c r="Q614" s="355">
        <v>107</v>
      </c>
      <c r="R614" s="355">
        <v>117</v>
      </c>
      <c r="S614" s="355">
        <v>84</v>
      </c>
      <c r="T614" s="355">
        <v>154</v>
      </c>
      <c r="U614" s="59">
        <f t="shared" si="54"/>
        <v>48</v>
      </c>
      <c r="V614" s="59">
        <f t="shared" si="55"/>
        <v>529</v>
      </c>
      <c r="W614" s="59">
        <f t="shared" si="56"/>
        <v>229.5</v>
      </c>
      <c r="X614" s="60">
        <f t="shared" si="57"/>
        <v>29.111531190926275</v>
      </c>
      <c r="AC614" s="53"/>
      <c r="AL614" s="65">
        <f>_xlfn.IFERROR(INDEX('Tabela PW'!$T:$T,'Słownik PW'!C614,1),"")</f>
        <v>154</v>
      </c>
    </row>
    <row r="615" spans="1:38" ht="15">
      <c r="A615" s="4" t="s">
        <v>552</v>
      </c>
      <c r="B615" s="5" t="s">
        <v>668</v>
      </c>
      <c r="C615" s="49" t="s">
        <v>601</v>
      </c>
      <c r="D615" s="349">
        <f t="shared" si="53"/>
        <v>37</v>
      </c>
      <c r="E615" s="350" t="s">
        <v>1320</v>
      </c>
      <c r="F615" s="51" t="s">
        <v>154</v>
      </c>
      <c r="G615" s="351" t="s">
        <v>682</v>
      </c>
      <c r="H615" s="351" t="s">
        <v>2606</v>
      </c>
      <c r="I615" s="351" t="s">
        <v>2607</v>
      </c>
      <c r="J615" s="351" t="s">
        <v>4315</v>
      </c>
      <c r="K615" s="354">
        <v>270</v>
      </c>
      <c r="L615" s="355">
        <v>396</v>
      </c>
      <c r="M615" s="354">
        <v>486</v>
      </c>
      <c r="N615" s="355">
        <v>848</v>
      </c>
      <c r="O615" s="355">
        <v>875</v>
      </c>
      <c r="P615" s="355">
        <v>888</v>
      </c>
      <c r="Q615" s="355">
        <v>657</v>
      </c>
      <c r="R615" s="355">
        <v>832</v>
      </c>
      <c r="S615" s="355">
        <v>937</v>
      </c>
      <c r="T615" s="355">
        <v>1001</v>
      </c>
      <c r="U615" s="59">
        <f t="shared" si="54"/>
        <v>270</v>
      </c>
      <c r="V615" s="59">
        <f t="shared" si="55"/>
        <v>1001</v>
      </c>
      <c r="W615" s="59">
        <f t="shared" si="56"/>
        <v>719</v>
      </c>
      <c r="X615" s="60">
        <f t="shared" si="57"/>
        <v>370.7407407407407</v>
      </c>
      <c r="AC615" s="53"/>
      <c r="AL615" s="65">
        <f>_xlfn.IFERROR(INDEX('Tabela PW'!$T:$T,'Słownik PW'!C615,1),"")</f>
        <v>1001</v>
      </c>
    </row>
    <row r="616" spans="1:38" ht="15">
      <c r="A616" s="4" t="s">
        <v>552</v>
      </c>
      <c r="B616" s="5" t="s">
        <v>668</v>
      </c>
      <c r="C616" s="49" t="s">
        <v>602</v>
      </c>
      <c r="D616" s="349">
        <f t="shared" si="53"/>
        <v>26</v>
      </c>
      <c r="E616" s="350" t="s">
        <v>1321</v>
      </c>
      <c r="F616" s="51" t="s">
        <v>154</v>
      </c>
      <c r="G616" s="351" t="s">
        <v>682</v>
      </c>
      <c r="H616" s="351" t="s">
        <v>2608</v>
      </c>
      <c r="I616" s="351" t="s">
        <v>2609</v>
      </c>
      <c r="J616" s="351" t="s">
        <v>4316</v>
      </c>
      <c r="K616" s="354">
        <v>502</v>
      </c>
      <c r="L616" s="355">
        <v>711</v>
      </c>
      <c r="M616" s="354">
        <v>792</v>
      </c>
      <c r="N616" s="355">
        <v>686</v>
      </c>
      <c r="O616" s="355">
        <v>610</v>
      </c>
      <c r="P616" s="355">
        <v>490</v>
      </c>
      <c r="Q616" s="355">
        <v>511</v>
      </c>
      <c r="R616" s="355">
        <v>658</v>
      </c>
      <c r="S616" s="355">
        <v>737</v>
      </c>
      <c r="T616" s="355">
        <v>728</v>
      </c>
      <c r="U616" s="59">
        <f t="shared" si="54"/>
        <v>490</v>
      </c>
      <c r="V616" s="59">
        <f t="shared" si="55"/>
        <v>792</v>
      </c>
      <c r="W616" s="59">
        <f t="shared" si="56"/>
        <v>642.5</v>
      </c>
      <c r="X616" s="60">
        <f t="shared" si="57"/>
        <v>145.0199203187251</v>
      </c>
      <c r="AC616" s="53"/>
      <c r="AL616" s="65">
        <f>_xlfn.IFERROR(INDEX('Tabela PW'!$T:$T,'Słownik PW'!C616,1),"")</f>
        <v>728</v>
      </c>
    </row>
    <row r="617" spans="1:38" ht="15">
      <c r="A617" s="4" t="s">
        <v>552</v>
      </c>
      <c r="B617" s="5" t="s">
        <v>668</v>
      </c>
      <c r="C617" s="49" t="s">
        <v>603</v>
      </c>
      <c r="D617" s="349">
        <f t="shared" si="53"/>
        <v>57</v>
      </c>
      <c r="E617" s="350" t="s">
        <v>1322</v>
      </c>
      <c r="F617" s="51" t="s">
        <v>154</v>
      </c>
      <c r="G617" s="351" t="s">
        <v>682</v>
      </c>
      <c r="H617" s="351" t="s">
        <v>2610</v>
      </c>
      <c r="I617" s="351" t="s">
        <v>2611</v>
      </c>
      <c r="J617" s="351" t="s">
        <v>4317</v>
      </c>
      <c r="K617" s="354">
        <v>293</v>
      </c>
      <c r="L617" s="355">
        <v>254</v>
      </c>
      <c r="M617" s="354">
        <v>267</v>
      </c>
      <c r="N617" s="355">
        <v>670</v>
      </c>
      <c r="O617" s="355">
        <v>589</v>
      </c>
      <c r="P617" s="355">
        <v>691</v>
      </c>
      <c r="Q617" s="355">
        <v>532</v>
      </c>
      <c r="R617" s="355">
        <v>573</v>
      </c>
      <c r="S617" s="355">
        <v>587</v>
      </c>
      <c r="T617" s="355">
        <v>623</v>
      </c>
      <c r="U617" s="59">
        <f t="shared" si="54"/>
        <v>254</v>
      </c>
      <c r="V617" s="59">
        <f t="shared" si="55"/>
        <v>691</v>
      </c>
      <c r="W617" s="59">
        <f t="shared" si="56"/>
        <v>507.9</v>
      </c>
      <c r="X617" s="60">
        <f t="shared" si="57"/>
        <v>212.62798634812285</v>
      </c>
      <c r="AC617" s="53"/>
      <c r="AL617" s="65">
        <f>_xlfn.IFERROR(INDEX('Tabela PW'!$T:$T,'Słownik PW'!C617,1),"")</f>
        <v>623</v>
      </c>
    </row>
    <row r="618" spans="1:38" ht="15">
      <c r="A618" s="4" t="s">
        <v>552</v>
      </c>
      <c r="B618" s="5" t="s">
        <v>668</v>
      </c>
      <c r="C618" s="49" t="s">
        <v>604</v>
      </c>
      <c r="D618" s="349">
        <f t="shared" si="53"/>
        <v>86</v>
      </c>
      <c r="E618" s="350" t="s">
        <v>1323</v>
      </c>
      <c r="F618" s="51" t="s">
        <v>139</v>
      </c>
      <c r="G618" s="351" t="s">
        <v>674</v>
      </c>
      <c r="H618" s="351" t="s">
        <v>2612</v>
      </c>
      <c r="I618" s="351" t="s">
        <v>2613</v>
      </c>
      <c r="J618" s="351" t="s">
        <v>4318</v>
      </c>
      <c r="K618" s="354">
        <v>48000</v>
      </c>
      <c r="L618" s="355">
        <v>54000</v>
      </c>
      <c r="M618" s="354">
        <v>87000</v>
      </c>
      <c r="N618" s="355">
        <v>119100</v>
      </c>
      <c r="O618" s="355">
        <v>66900</v>
      </c>
      <c r="P618" s="355">
        <v>125800</v>
      </c>
      <c r="Q618" s="355">
        <v>79124</v>
      </c>
      <c r="R618" s="355">
        <v>84300</v>
      </c>
      <c r="S618" s="355">
        <v>52500</v>
      </c>
      <c r="T618" s="355">
        <v>51350</v>
      </c>
      <c r="U618" s="59">
        <f t="shared" si="54"/>
        <v>48000</v>
      </c>
      <c r="V618" s="59">
        <f t="shared" si="55"/>
        <v>125800</v>
      </c>
      <c r="W618" s="59">
        <f t="shared" si="56"/>
        <v>76807.4</v>
      </c>
      <c r="X618" s="60">
        <f t="shared" si="57"/>
        <v>106.97916666666667</v>
      </c>
      <c r="AC618" s="53"/>
      <c r="AL618" s="65">
        <f>_xlfn.IFERROR(INDEX('Tabela PW'!$T:$T,'Słownik PW'!C618,1),"")</f>
        <v>51350</v>
      </c>
    </row>
    <row r="619" spans="1:38" ht="15">
      <c r="A619" s="4" t="s">
        <v>552</v>
      </c>
      <c r="B619" s="5" t="s">
        <v>668</v>
      </c>
      <c r="C619" s="49" t="s">
        <v>604</v>
      </c>
      <c r="D619" s="349">
        <f t="shared" si="53"/>
        <v>86</v>
      </c>
      <c r="E619" s="350" t="s">
        <v>1324</v>
      </c>
      <c r="F619" s="51" t="s">
        <v>154</v>
      </c>
      <c r="G619" s="351" t="s">
        <v>682</v>
      </c>
      <c r="H619" s="351" t="s">
        <v>2614</v>
      </c>
      <c r="I619" s="351" t="s">
        <v>2615</v>
      </c>
      <c r="J619" s="351" t="s">
        <v>4319</v>
      </c>
      <c r="K619" s="354">
        <v>16</v>
      </c>
      <c r="L619" s="355">
        <v>18</v>
      </c>
      <c r="M619" s="354">
        <v>29</v>
      </c>
      <c r="N619" s="355">
        <v>40</v>
      </c>
      <c r="O619" s="355">
        <v>26</v>
      </c>
      <c r="P619" s="355">
        <v>65</v>
      </c>
      <c r="Q619" s="355">
        <v>40</v>
      </c>
      <c r="R619" s="355">
        <v>30</v>
      </c>
      <c r="S619" s="355">
        <v>19</v>
      </c>
      <c r="T619" s="355">
        <v>18</v>
      </c>
      <c r="U619" s="59">
        <f t="shared" si="54"/>
        <v>16</v>
      </c>
      <c r="V619" s="59">
        <f t="shared" si="55"/>
        <v>65</v>
      </c>
      <c r="W619" s="59">
        <f t="shared" si="56"/>
        <v>30.1</v>
      </c>
      <c r="X619" s="60">
        <f t="shared" si="57"/>
        <v>112.5</v>
      </c>
      <c r="AC619" s="53"/>
      <c r="AL619" s="65">
        <f>_xlfn.IFERROR(INDEX('Tabela PW'!$T:$T,'Słownik PW'!C619,1),"")</f>
        <v>18</v>
      </c>
    </row>
    <row r="620" spans="1:38" ht="15">
      <c r="A620" s="4" t="s">
        <v>552</v>
      </c>
      <c r="B620" s="5" t="s">
        <v>668</v>
      </c>
      <c r="C620" s="49" t="s">
        <v>605</v>
      </c>
      <c r="D620" s="349">
        <f t="shared" si="53"/>
        <v>8</v>
      </c>
      <c r="E620" s="350" t="s">
        <v>1325</v>
      </c>
      <c r="F620" s="51" t="s">
        <v>139</v>
      </c>
      <c r="G620" s="351" t="s">
        <v>674</v>
      </c>
      <c r="H620" s="351" t="s">
        <v>2616</v>
      </c>
      <c r="I620" s="351" t="s">
        <v>2617</v>
      </c>
      <c r="J620" s="351" t="s">
        <v>4320</v>
      </c>
      <c r="K620" s="354">
        <v>231400</v>
      </c>
      <c r="L620" s="355">
        <v>384000</v>
      </c>
      <c r="M620" s="354">
        <v>519850</v>
      </c>
      <c r="N620" s="355">
        <v>2215000</v>
      </c>
      <c r="O620" s="355">
        <v>2234390</v>
      </c>
      <c r="P620" s="355">
        <v>2671100</v>
      </c>
      <c r="Q620" s="355">
        <v>2152124</v>
      </c>
      <c r="R620" s="355">
        <v>2411250</v>
      </c>
      <c r="S620" s="355">
        <v>2687100</v>
      </c>
      <c r="T620" s="355">
        <v>2912800</v>
      </c>
      <c r="U620" s="59">
        <f t="shared" si="54"/>
        <v>231400</v>
      </c>
      <c r="V620" s="59">
        <f t="shared" si="55"/>
        <v>2912800</v>
      </c>
      <c r="W620" s="59">
        <f t="shared" si="56"/>
        <v>1841901.4</v>
      </c>
      <c r="X620" s="60">
        <f t="shared" si="57"/>
        <v>1258.7726879861711</v>
      </c>
      <c r="AC620" s="53"/>
      <c r="AL620" s="65">
        <f>_xlfn.IFERROR(INDEX('Tabela PW'!$T:$T,'Słownik PW'!C620,1),"")</f>
        <v>2912800</v>
      </c>
    </row>
    <row r="621" spans="1:38" ht="15">
      <c r="A621" s="4" t="s">
        <v>552</v>
      </c>
      <c r="B621" s="5" t="s">
        <v>668</v>
      </c>
      <c r="C621" s="49" t="s">
        <v>605</v>
      </c>
      <c r="D621" s="349">
        <f t="shared" si="53"/>
        <v>8</v>
      </c>
      <c r="E621" s="350" t="s">
        <v>1326</v>
      </c>
      <c r="F621" s="51" t="s">
        <v>154</v>
      </c>
      <c r="G621" s="351" t="s">
        <v>682</v>
      </c>
      <c r="H621" s="351" t="s">
        <v>2618</v>
      </c>
      <c r="I621" s="351" t="s">
        <v>2619</v>
      </c>
      <c r="J621" s="351" t="s">
        <v>4321</v>
      </c>
      <c r="K621" s="354">
        <v>126</v>
      </c>
      <c r="L621" s="355">
        <v>172</v>
      </c>
      <c r="M621" s="354">
        <v>220</v>
      </c>
      <c r="N621" s="355">
        <v>637</v>
      </c>
      <c r="O621" s="355">
        <v>548</v>
      </c>
      <c r="P621" s="355">
        <v>664</v>
      </c>
      <c r="Q621" s="355">
        <v>452</v>
      </c>
      <c r="R621" s="355">
        <v>480</v>
      </c>
      <c r="S621" s="355">
        <v>548</v>
      </c>
      <c r="T621" s="355">
        <v>588</v>
      </c>
      <c r="U621" s="59">
        <f t="shared" si="54"/>
        <v>126</v>
      </c>
      <c r="V621" s="59">
        <f t="shared" si="55"/>
        <v>664</v>
      </c>
      <c r="W621" s="59">
        <f t="shared" si="56"/>
        <v>443.5</v>
      </c>
      <c r="X621" s="60">
        <f t="shared" si="57"/>
        <v>466.6666666666667</v>
      </c>
      <c r="AC621" s="53"/>
      <c r="AL621" s="65">
        <f>_xlfn.IFERROR(INDEX('Tabela PW'!$T:$T,'Słownik PW'!C621,1),"")</f>
        <v>588</v>
      </c>
    </row>
    <row r="622" spans="1:38" ht="15">
      <c r="A622" s="4" t="s">
        <v>552</v>
      </c>
      <c r="B622" s="5" t="s">
        <v>668</v>
      </c>
      <c r="C622" s="49" t="s">
        <v>606</v>
      </c>
      <c r="D622" s="349">
        <f t="shared" si="53"/>
        <v>20</v>
      </c>
      <c r="E622" s="350" t="s">
        <v>1327</v>
      </c>
      <c r="F622" s="51" t="s">
        <v>154</v>
      </c>
      <c r="G622" s="351" t="s">
        <v>682</v>
      </c>
      <c r="H622" s="351" t="s">
        <v>2620</v>
      </c>
      <c r="I622" s="351" t="s">
        <v>2621</v>
      </c>
      <c r="J622" s="351" t="s">
        <v>4322</v>
      </c>
      <c r="K622" s="354">
        <v>14</v>
      </c>
      <c r="L622" s="355">
        <v>11</v>
      </c>
      <c r="M622" s="354">
        <v>6</v>
      </c>
      <c r="N622" s="355">
        <v>8</v>
      </c>
      <c r="O622" s="355">
        <v>5</v>
      </c>
      <c r="P622" s="355">
        <v>4</v>
      </c>
      <c r="Q622" s="355">
        <v>5</v>
      </c>
      <c r="R622" s="355">
        <v>5</v>
      </c>
      <c r="S622" s="355">
        <v>1</v>
      </c>
      <c r="T622" s="355">
        <v>2</v>
      </c>
      <c r="U622" s="59">
        <f t="shared" si="54"/>
        <v>1</v>
      </c>
      <c r="V622" s="59">
        <f t="shared" si="55"/>
        <v>14</v>
      </c>
      <c r="W622" s="59">
        <f t="shared" si="56"/>
        <v>6.1</v>
      </c>
      <c r="X622" s="60">
        <f t="shared" si="57"/>
        <v>14.285714285714285</v>
      </c>
      <c r="AC622" s="53"/>
      <c r="AL622" s="65">
        <f>_xlfn.IFERROR(INDEX('Tabela PW'!$T:$T,'Słownik PW'!C622,1),"")</f>
        <v>2</v>
      </c>
    </row>
    <row r="623" spans="1:38" ht="15">
      <c r="A623" s="4" t="s">
        <v>552</v>
      </c>
      <c r="B623" s="5" t="s">
        <v>668</v>
      </c>
      <c r="C623" s="49" t="s">
        <v>607</v>
      </c>
      <c r="D623" s="349">
        <f t="shared" si="53"/>
        <v>181</v>
      </c>
      <c r="E623" s="350" t="s">
        <v>1328</v>
      </c>
      <c r="F623" s="51" t="s">
        <v>154</v>
      </c>
      <c r="G623" s="351" t="s">
        <v>682</v>
      </c>
      <c r="H623" s="351" t="s">
        <v>2622</v>
      </c>
      <c r="I623" s="351" t="s">
        <v>2623</v>
      </c>
      <c r="J623" s="351" t="s">
        <v>4323</v>
      </c>
      <c r="K623" s="354">
        <v>1957</v>
      </c>
      <c r="L623" s="355">
        <v>2413</v>
      </c>
      <c r="M623" s="354">
        <v>2614</v>
      </c>
      <c r="N623" s="355">
        <v>2488</v>
      </c>
      <c r="O623" s="355">
        <v>2886</v>
      </c>
      <c r="P623" s="355">
        <v>2651</v>
      </c>
      <c r="Q623" s="355">
        <v>2819</v>
      </c>
      <c r="R623" s="355">
        <v>3024</v>
      </c>
      <c r="S623" s="355">
        <v>3176</v>
      </c>
      <c r="T623" s="355">
        <v>2908</v>
      </c>
      <c r="U623" s="59">
        <f t="shared" si="54"/>
        <v>1957</v>
      </c>
      <c r="V623" s="59">
        <f t="shared" si="55"/>
        <v>3176</v>
      </c>
      <c r="W623" s="59">
        <f t="shared" si="56"/>
        <v>2693.6</v>
      </c>
      <c r="X623" s="60">
        <f t="shared" si="57"/>
        <v>148.5947879407256</v>
      </c>
      <c r="AC623" s="53"/>
      <c r="AL623" s="65">
        <f>_xlfn.IFERROR(INDEX('Tabela PW'!$T:$T,'Słownik PW'!C623,1),"")</f>
        <v>2908</v>
      </c>
    </row>
    <row r="624" spans="1:38" ht="15">
      <c r="A624" s="4" t="s">
        <v>552</v>
      </c>
      <c r="B624" s="5" t="s">
        <v>668</v>
      </c>
      <c r="C624" s="49" t="s">
        <v>608</v>
      </c>
      <c r="D624" s="349">
        <f t="shared" si="53"/>
        <v>30</v>
      </c>
      <c r="E624" s="350" t="s">
        <v>1329</v>
      </c>
      <c r="F624" s="51" t="s">
        <v>154</v>
      </c>
      <c r="G624" s="351" t="s">
        <v>682</v>
      </c>
      <c r="H624" s="351" t="s">
        <v>2624</v>
      </c>
      <c r="I624" s="351" t="s">
        <v>2625</v>
      </c>
      <c r="J624" s="351" t="s">
        <v>4324</v>
      </c>
      <c r="K624" s="354">
        <v>602</v>
      </c>
      <c r="L624" s="355">
        <v>565</v>
      </c>
      <c r="M624" s="354">
        <v>683</v>
      </c>
      <c r="N624" s="355">
        <v>453</v>
      </c>
      <c r="O624" s="355">
        <v>779</v>
      </c>
      <c r="P624" s="355">
        <v>891</v>
      </c>
      <c r="Q624" s="355">
        <v>877</v>
      </c>
      <c r="R624" s="355">
        <v>686</v>
      </c>
      <c r="S624" s="355">
        <v>792</v>
      </c>
      <c r="T624" s="355">
        <v>630</v>
      </c>
      <c r="U624" s="59">
        <f t="shared" si="54"/>
        <v>453</v>
      </c>
      <c r="V624" s="59">
        <f t="shared" si="55"/>
        <v>891</v>
      </c>
      <c r="W624" s="59">
        <f t="shared" si="56"/>
        <v>695.8</v>
      </c>
      <c r="X624" s="60">
        <f t="shared" si="57"/>
        <v>104.65116279069768</v>
      </c>
      <c r="AC624" s="53"/>
      <c r="AL624" s="65">
        <f>_xlfn.IFERROR(INDEX('Tabela PW'!$T:$T,'Słownik PW'!C624,1),"")</f>
        <v>630</v>
      </c>
    </row>
    <row r="625" spans="1:38" ht="15">
      <c r="A625" s="4" t="s">
        <v>552</v>
      </c>
      <c r="B625" s="5" t="s">
        <v>668</v>
      </c>
      <c r="C625" s="49" t="s">
        <v>609</v>
      </c>
      <c r="D625" s="349">
        <f t="shared" si="53"/>
        <v>8</v>
      </c>
      <c r="E625" s="350" t="s">
        <v>1330</v>
      </c>
      <c r="F625" s="51" t="s">
        <v>25</v>
      </c>
      <c r="G625" s="351" t="s">
        <v>683</v>
      </c>
      <c r="H625" s="351" t="s">
        <v>2626</v>
      </c>
      <c r="I625" s="351" t="s">
        <v>2627</v>
      </c>
      <c r="J625" s="351" t="s">
        <v>4325</v>
      </c>
      <c r="K625" s="354">
        <v>8721</v>
      </c>
      <c r="L625" s="355">
        <v>12776</v>
      </c>
      <c r="M625" s="354">
        <v>10701</v>
      </c>
      <c r="N625" s="355">
        <v>7912</v>
      </c>
      <c r="O625" s="355">
        <v>9036</v>
      </c>
      <c r="P625" s="355">
        <v>10250</v>
      </c>
      <c r="Q625" s="355">
        <v>11929</v>
      </c>
      <c r="R625" s="355">
        <v>14291</v>
      </c>
      <c r="S625" s="355">
        <v>16789</v>
      </c>
      <c r="T625" s="355">
        <v>13323</v>
      </c>
      <c r="U625" s="59">
        <f t="shared" si="54"/>
        <v>7912</v>
      </c>
      <c r="V625" s="59">
        <f t="shared" si="55"/>
        <v>16789</v>
      </c>
      <c r="W625" s="59">
        <f t="shared" si="56"/>
        <v>11572.8</v>
      </c>
      <c r="X625" s="60">
        <f t="shared" si="57"/>
        <v>152.7691778465772</v>
      </c>
      <c r="AC625" s="53"/>
      <c r="AL625" s="65">
        <f>_xlfn.IFERROR(INDEX('Tabela PW'!$T:$T,'Słownik PW'!C625,1),"")</f>
        <v>13323</v>
      </c>
    </row>
    <row r="626" spans="1:38" ht="15">
      <c r="A626" s="4" t="s">
        <v>552</v>
      </c>
      <c r="B626" s="5" t="s">
        <v>668</v>
      </c>
      <c r="C626" s="49" t="s">
        <v>610</v>
      </c>
      <c r="D626" s="349">
        <f t="shared" si="53"/>
        <v>68</v>
      </c>
      <c r="E626" s="350" t="s">
        <v>1331</v>
      </c>
      <c r="F626" s="51" t="s">
        <v>25</v>
      </c>
      <c r="G626" s="351" t="s">
        <v>683</v>
      </c>
      <c r="H626" s="351" t="s">
        <v>2628</v>
      </c>
      <c r="I626" s="351" t="s">
        <v>2629</v>
      </c>
      <c r="J626" s="351" t="s">
        <v>4326</v>
      </c>
      <c r="K626" s="354">
        <v>21317</v>
      </c>
      <c r="L626" s="355">
        <v>43478</v>
      </c>
      <c r="M626" s="354">
        <v>58241</v>
      </c>
      <c r="N626" s="355">
        <v>20257</v>
      </c>
      <c r="O626" s="355">
        <v>16749</v>
      </c>
      <c r="P626" s="355">
        <v>15029</v>
      </c>
      <c r="Q626" s="355">
        <v>12447</v>
      </c>
      <c r="R626" s="355">
        <v>13495</v>
      </c>
      <c r="S626" s="355">
        <v>11420</v>
      </c>
      <c r="T626" s="355">
        <v>15698</v>
      </c>
      <c r="U626" s="59">
        <f t="shared" si="54"/>
        <v>11420</v>
      </c>
      <c r="V626" s="59">
        <f t="shared" si="55"/>
        <v>58241</v>
      </c>
      <c r="W626" s="59">
        <f t="shared" si="56"/>
        <v>22813.1</v>
      </c>
      <c r="X626" s="60">
        <f t="shared" si="57"/>
        <v>73.64075620396866</v>
      </c>
      <c r="AC626" s="53"/>
      <c r="AL626" s="65">
        <f>_xlfn.IFERROR(INDEX('Tabela PW'!$T:$T,'Słownik PW'!C626,1),"")</f>
        <v>15698</v>
      </c>
    </row>
    <row r="627" spans="1:38" ht="15">
      <c r="A627" s="4" t="s">
        <v>552</v>
      </c>
      <c r="B627" s="5" t="s">
        <v>668</v>
      </c>
      <c r="C627" s="49" t="s">
        <v>611</v>
      </c>
      <c r="D627" s="349">
        <f t="shared" si="53"/>
        <v>39</v>
      </c>
      <c r="E627" s="350" t="s">
        <v>1332</v>
      </c>
      <c r="F627" s="51" t="s">
        <v>154</v>
      </c>
      <c r="G627" s="351" t="s">
        <v>682</v>
      </c>
      <c r="H627" s="351" t="s">
        <v>2630</v>
      </c>
      <c r="I627" s="351" t="s">
        <v>2631</v>
      </c>
      <c r="J627" s="351" t="s">
        <v>4327</v>
      </c>
      <c r="K627" s="354">
        <v>241</v>
      </c>
      <c r="L627" s="355">
        <v>285</v>
      </c>
      <c r="M627" s="354">
        <v>261</v>
      </c>
      <c r="N627" s="355">
        <v>216</v>
      </c>
      <c r="O627" s="355">
        <v>158</v>
      </c>
      <c r="P627" s="355">
        <v>135</v>
      </c>
      <c r="Q627" s="355">
        <v>161</v>
      </c>
      <c r="R627" s="355">
        <v>156</v>
      </c>
      <c r="S627" s="355">
        <v>196</v>
      </c>
      <c r="T627" s="355">
        <v>255</v>
      </c>
      <c r="U627" s="59">
        <f t="shared" si="54"/>
        <v>135</v>
      </c>
      <c r="V627" s="59">
        <f t="shared" si="55"/>
        <v>285</v>
      </c>
      <c r="W627" s="59">
        <f t="shared" si="56"/>
        <v>206.4</v>
      </c>
      <c r="X627" s="60">
        <f t="shared" si="57"/>
        <v>105.8091286307054</v>
      </c>
      <c r="AC627" s="53"/>
      <c r="AL627" s="65">
        <f>_xlfn.IFERROR(INDEX('Tabela PW'!$T:$T,'Słownik PW'!C627,1),"")</f>
        <v>255</v>
      </c>
    </row>
    <row r="628" spans="1:38" ht="15">
      <c r="A628" s="4" t="s">
        <v>552</v>
      </c>
      <c r="B628" s="5" t="s">
        <v>668</v>
      </c>
      <c r="C628" s="49" t="s">
        <v>612</v>
      </c>
      <c r="D628" s="349">
        <f t="shared" si="53"/>
        <v>69</v>
      </c>
      <c r="E628" s="350" t="s">
        <v>1333</v>
      </c>
      <c r="F628" s="51" t="s">
        <v>25</v>
      </c>
      <c r="G628" s="351" t="s">
        <v>683</v>
      </c>
      <c r="H628" s="351" t="s">
        <v>2632</v>
      </c>
      <c r="I628" s="351" t="s">
        <v>2633</v>
      </c>
      <c r="J628" s="351" t="s">
        <v>4328</v>
      </c>
      <c r="K628" s="354">
        <v>26378</v>
      </c>
      <c r="L628" s="355">
        <v>33080</v>
      </c>
      <c r="M628" s="354">
        <v>33898</v>
      </c>
      <c r="N628" s="355">
        <v>30796</v>
      </c>
      <c r="O628" s="355">
        <v>27138</v>
      </c>
      <c r="P628" s="355">
        <v>20808</v>
      </c>
      <c r="Q628" s="355">
        <v>12268</v>
      </c>
      <c r="R628" s="355">
        <v>14908</v>
      </c>
      <c r="S628" s="355">
        <v>17800</v>
      </c>
      <c r="T628" s="355">
        <v>14517</v>
      </c>
      <c r="U628" s="59">
        <f t="shared" si="54"/>
        <v>12268</v>
      </c>
      <c r="V628" s="59">
        <f t="shared" si="55"/>
        <v>33898</v>
      </c>
      <c r="W628" s="59">
        <f t="shared" si="56"/>
        <v>23159.1</v>
      </c>
      <c r="X628" s="60">
        <f t="shared" si="57"/>
        <v>55.03449844567443</v>
      </c>
      <c r="AC628" s="53"/>
      <c r="AL628" s="65">
        <f>_xlfn.IFERROR(INDEX('Tabela PW'!$T:$T,'Słownik PW'!C628,1),"")</f>
        <v>14517</v>
      </c>
    </row>
    <row r="629" spans="1:38" ht="15">
      <c r="A629" s="4" t="s">
        <v>552</v>
      </c>
      <c r="B629" s="5" t="s">
        <v>668</v>
      </c>
      <c r="C629" s="49" t="s">
        <v>613</v>
      </c>
      <c r="D629" s="349">
        <f t="shared" si="53"/>
        <v>113</v>
      </c>
      <c r="E629" s="350" t="s">
        <v>1334</v>
      </c>
      <c r="F629" s="51" t="s">
        <v>154</v>
      </c>
      <c r="G629" s="351" t="s">
        <v>682</v>
      </c>
      <c r="H629" s="351" t="s">
        <v>2634</v>
      </c>
      <c r="I629" s="351" t="s">
        <v>2635</v>
      </c>
      <c r="J629" s="351" t="s">
        <v>4329</v>
      </c>
      <c r="K629" s="354">
        <v>729</v>
      </c>
      <c r="L629" s="355">
        <v>887</v>
      </c>
      <c r="M629" s="354">
        <v>739</v>
      </c>
      <c r="N629" s="355">
        <v>455</v>
      </c>
      <c r="O629" s="355">
        <v>398</v>
      </c>
      <c r="P629" s="355">
        <v>371</v>
      </c>
      <c r="Q629" s="355">
        <v>529</v>
      </c>
      <c r="R629" s="355">
        <v>520</v>
      </c>
      <c r="S629" s="355">
        <v>437</v>
      </c>
      <c r="T629" s="355">
        <v>436</v>
      </c>
      <c r="U629" s="59">
        <f t="shared" si="54"/>
        <v>371</v>
      </c>
      <c r="V629" s="59">
        <f t="shared" si="55"/>
        <v>887</v>
      </c>
      <c r="W629" s="59">
        <f t="shared" si="56"/>
        <v>550.1</v>
      </c>
      <c r="X629" s="60">
        <f t="shared" si="57"/>
        <v>59.807956104252405</v>
      </c>
      <c r="AC629" s="53"/>
      <c r="AL629" s="65">
        <f>_xlfn.IFERROR(INDEX('Tabela PW'!$T:$T,'Słownik PW'!C629,1),"")</f>
        <v>436</v>
      </c>
    </row>
    <row r="630" spans="1:38" ht="15">
      <c r="A630" s="4" t="s">
        <v>552</v>
      </c>
      <c r="B630" s="5" t="s">
        <v>668</v>
      </c>
      <c r="C630" s="49" t="s">
        <v>613</v>
      </c>
      <c r="D630" s="349">
        <f t="shared" si="53"/>
        <v>113</v>
      </c>
      <c r="E630" s="350" t="s">
        <v>1335</v>
      </c>
      <c r="F630" s="51" t="s">
        <v>25</v>
      </c>
      <c r="G630" s="351" t="s">
        <v>683</v>
      </c>
      <c r="H630" s="351" t="s">
        <v>2636</v>
      </c>
      <c r="I630" s="351" t="s">
        <v>2637</v>
      </c>
      <c r="J630" s="351" t="s">
        <v>4330</v>
      </c>
      <c r="K630" s="354">
        <v>4536</v>
      </c>
      <c r="L630" s="355">
        <v>5404</v>
      </c>
      <c r="M630" s="354">
        <v>5027</v>
      </c>
      <c r="N630" s="355">
        <v>3119</v>
      </c>
      <c r="O630" s="355">
        <v>4043</v>
      </c>
      <c r="P630" s="355">
        <v>2214</v>
      </c>
      <c r="Q630" s="355">
        <v>2786</v>
      </c>
      <c r="R630" s="355">
        <v>4393</v>
      </c>
      <c r="S630" s="355">
        <v>5128</v>
      </c>
      <c r="T630" s="355">
        <v>5538</v>
      </c>
      <c r="U630" s="59">
        <f t="shared" si="54"/>
        <v>2214</v>
      </c>
      <c r="V630" s="59">
        <f t="shared" si="55"/>
        <v>5538</v>
      </c>
      <c r="W630" s="59">
        <f t="shared" si="56"/>
        <v>4218.8</v>
      </c>
      <c r="X630" s="60">
        <f t="shared" si="57"/>
        <v>122.08994708994709</v>
      </c>
      <c r="AC630" s="53"/>
      <c r="AL630" s="65">
        <f>_xlfn.IFERROR(INDEX('Tabela PW'!$T:$T,'Słownik PW'!C630,1),"")</f>
        <v>5538</v>
      </c>
    </row>
    <row r="631" spans="1:38" ht="15">
      <c r="A631" s="4" t="s">
        <v>552</v>
      </c>
      <c r="B631" s="5" t="s">
        <v>668</v>
      </c>
      <c r="C631" s="49" t="s">
        <v>614</v>
      </c>
      <c r="D631" s="349">
        <f t="shared" si="53"/>
        <v>99</v>
      </c>
      <c r="E631" s="350" t="s">
        <v>1336</v>
      </c>
      <c r="F631" s="51" t="s">
        <v>25</v>
      </c>
      <c r="G631" s="351" t="s">
        <v>683</v>
      </c>
      <c r="H631" s="351" t="s">
        <v>2638</v>
      </c>
      <c r="I631" s="351" t="s">
        <v>2639</v>
      </c>
      <c r="J631" s="351" t="s">
        <v>4331</v>
      </c>
      <c r="K631" s="354">
        <v>1595</v>
      </c>
      <c r="L631" s="355">
        <v>3622</v>
      </c>
      <c r="M631" s="354">
        <v>2656</v>
      </c>
      <c r="N631" s="355">
        <v>1758</v>
      </c>
      <c r="O631" s="355">
        <v>2325</v>
      </c>
      <c r="P631" s="355">
        <v>1445</v>
      </c>
      <c r="Q631" s="355">
        <v>1891</v>
      </c>
      <c r="R631" s="355">
        <v>2264</v>
      </c>
      <c r="S631" s="355">
        <v>2404</v>
      </c>
      <c r="T631" s="355">
        <v>1899</v>
      </c>
      <c r="U631" s="59">
        <f t="shared" si="54"/>
        <v>1445</v>
      </c>
      <c r="V631" s="59">
        <f t="shared" si="55"/>
        <v>3622</v>
      </c>
      <c r="W631" s="59">
        <f t="shared" si="56"/>
        <v>2185.9</v>
      </c>
      <c r="X631" s="60">
        <f t="shared" si="57"/>
        <v>119.05956112852665</v>
      </c>
      <c r="AC631" s="53"/>
      <c r="AL631" s="65">
        <f>_xlfn.IFERROR(INDEX('Tabela PW'!$T:$T,'Słownik PW'!C631,1),"")</f>
        <v>1899</v>
      </c>
    </row>
    <row r="632" spans="1:38" ht="15">
      <c r="A632" s="4" t="s">
        <v>552</v>
      </c>
      <c r="B632" s="5" t="s">
        <v>668</v>
      </c>
      <c r="C632" s="49" t="s">
        <v>615</v>
      </c>
      <c r="D632" s="349">
        <f t="shared" si="53"/>
        <v>34</v>
      </c>
      <c r="E632" s="350" t="s">
        <v>1337</v>
      </c>
      <c r="F632" s="51" t="s">
        <v>154</v>
      </c>
      <c r="G632" s="351" t="s">
        <v>682</v>
      </c>
      <c r="H632" s="351" t="s">
        <v>2640</v>
      </c>
      <c r="I632" s="351" t="s">
        <v>2641</v>
      </c>
      <c r="J632" s="351" t="s">
        <v>4332</v>
      </c>
      <c r="K632" s="354">
        <v>41592</v>
      </c>
      <c r="L632" s="355">
        <v>34206</v>
      </c>
      <c r="M632" s="354">
        <v>34978</v>
      </c>
      <c r="N632" s="355">
        <v>34951</v>
      </c>
      <c r="O632" s="355">
        <v>31875</v>
      </c>
      <c r="P632" s="355">
        <v>26567</v>
      </c>
      <c r="Q632" s="355">
        <v>27770</v>
      </c>
      <c r="R632" s="355">
        <v>27899</v>
      </c>
      <c r="S632" s="355">
        <v>27149</v>
      </c>
      <c r="T632" s="355">
        <v>25221</v>
      </c>
      <c r="U632" s="59">
        <f t="shared" si="54"/>
        <v>25221</v>
      </c>
      <c r="V632" s="59">
        <f t="shared" si="55"/>
        <v>41592</v>
      </c>
      <c r="W632" s="59">
        <f t="shared" si="56"/>
        <v>31220.8</v>
      </c>
      <c r="X632" s="60">
        <f t="shared" si="57"/>
        <v>60.639065204847086</v>
      </c>
      <c r="AC632" s="53"/>
      <c r="AL632" s="65">
        <f>_xlfn.IFERROR(INDEX('Tabela PW'!$T:$T,'Słownik PW'!C632,1),"")</f>
        <v>25221</v>
      </c>
    </row>
    <row r="633" spans="1:38" ht="15">
      <c r="A633" s="4" t="s">
        <v>552</v>
      </c>
      <c r="B633" s="5" t="s">
        <v>668</v>
      </c>
      <c r="C633" s="49" t="s">
        <v>616</v>
      </c>
      <c r="D633" s="349">
        <f t="shared" si="53"/>
        <v>33</v>
      </c>
      <c r="E633" s="350" t="s">
        <v>1338</v>
      </c>
      <c r="F633" s="51" t="s">
        <v>154</v>
      </c>
      <c r="G633" s="351" t="s">
        <v>682</v>
      </c>
      <c r="H633" s="351" t="s">
        <v>2642</v>
      </c>
      <c r="I633" s="351" t="s">
        <v>2643</v>
      </c>
      <c r="J633" s="351" t="s">
        <v>4333</v>
      </c>
      <c r="K633" s="354">
        <v>207</v>
      </c>
      <c r="L633" s="355">
        <v>536</v>
      </c>
      <c r="M633" s="354">
        <v>368</v>
      </c>
      <c r="N633" s="355">
        <v>313</v>
      </c>
      <c r="O633" s="355">
        <v>215</v>
      </c>
      <c r="P633" s="355">
        <v>146</v>
      </c>
      <c r="Q633" s="355">
        <v>85</v>
      </c>
      <c r="R633" s="355">
        <v>130</v>
      </c>
      <c r="S633" s="355">
        <v>161</v>
      </c>
      <c r="T633" s="355">
        <v>124</v>
      </c>
      <c r="U633" s="59">
        <f t="shared" si="54"/>
        <v>85</v>
      </c>
      <c r="V633" s="59">
        <f t="shared" si="55"/>
        <v>536</v>
      </c>
      <c r="W633" s="59">
        <f t="shared" si="56"/>
        <v>228.5</v>
      </c>
      <c r="X633" s="60">
        <f t="shared" si="57"/>
        <v>59.90338164251207</v>
      </c>
      <c r="AC633" s="53"/>
      <c r="AL633" s="65">
        <f>_xlfn.IFERROR(INDEX('Tabela PW'!$T:$T,'Słownik PW'!C633,1),"")</f>
        <v>124</v>
      </c>
    </row>
    <row r="634" spans="1:38" ht="15">
      <c r="A634" s="4" t="s">
        <v>552</v>
      </c>
      <c r="B634" s="5" t="s">
        <v>668</v>
      </c>
      <c r="C634" s="49" t="s">
        <v>617</v>
      </c>
      <c r="D634" s="349">
        <f t="shared" si="53"/>
        <v>29</v>
      </c>
      <c r="E634" s="350" t="s">
        <v>1339</v>
      </c>
      <c r="F634" s="51" t="s">
        <v>154</v>
      </c>
      <c r="G634" s="351" t="s">
        <v>682</v>
      </c>
      <c r="H634" s="351" t="s">
        <v>2644</v>
      </c>
      <c r="I634" s="351" t="s">
        <v>2645</v>
      </c>
      <c r="J634" s="351" t="s">
        <v>4334</v>
      </c>
      <c r="K634" s="354">
        <v>32</v>
      </c>
      <c r="L634" s="355">
        <v>54</v>
      </c>
      <c r="M634" s="354">
        <v>96</v>
      </c>
      <c r="N634" s="355">
        <v>85</v>
      </c>
      <c r="O634" s="355">
        <v>537</v>
      </c>
      <c r="P634" s="355">
        <v>160</v>
      </c>
      <c r="Q634" s="355">
        <v>131</v>
      </c>
      <c r="R634" s="355">
        <v>181</v>
      </c>
      <c r="S634" s="355">
        <v>209</v>
      </c>
      <c r="T634" s="355">
        <v>73</v>
      </c>
      <c r="U634" s="59">
        <f t="shared" si="54"/>
        <v>32</v>
      </c>
      <c r="V634" s="59">
        <f t="shared" si="55"/>
        <v>537</v>
      </c>
      <c r="W634" s="59">
        <f t="shared" si="56"/>
        <v>155.8</v>
      </c>
      <c r="X634" s="60">
        <f t="shared" si="57"/>
        <v>228.125</v>
      </c>
      <c r="AC634" s="53"/>
      <c r="AL634" s="65">
        <f>_xlfn.IFERROR(INDEX('Tabela PW'!$T:$T,'Słownik PW'!C634,1),"")</f>
        <v>73</v>
      </c>
    </row>
    <row r="635" spans="1:38" ht="15">
      <c r="A635" s="4" t="s">
        <v>552</v>
      </c>
      <c r="B635" s="5" t="s">
        <v>668</v>
      </c>
      <c r="C635" s="49" t="s">
        <v>618</v>
      </c>
      <c r="D635" s="349">
        <f t="shared" si="53"/>
        <v>34</v>
      </c>
      <c r="E635" s="350" t="s">
        <v>1340</v>
      </c>
      <c r="F635" s="51" t="s">
        <v>139</v>
      </c>
      <c r="G635" s="351" t="s">
        <v>674</v>
      </c>
      <c r="H635" s="351" t="s">
        <v>2646</v>
      </c>
      <c r="I635" s="351" t="s">
        <v>2647</v>
      </c>
      <c r="J635" s="351" t="s">
        <v>4335</v>
      </c>
      <c r="K635" s="354">
        <v>88017</v>
      </c>
      <c r="L635" s="355">
        <v>40921</v>
      </c>
      <c r="M635" s="354">
        <v>105188</v>
      </c>
      <c r="N635" s="355">
        <v>37834</v>
      </c>
      <c r="O635" s="355">
        <v>52964</v>
      </c>
      <c r="P635" s="355">
        <v>49000</v>
      </c>
      <c r="Q635" s="355">
        <v>29000</v>
      </c>
      <c r="R635" s="355">
        <v>52000</v>
      </c>
      <c r="S635" s="355">
        <v>43000</v>
      </c>
      <c r="T635" s="355">
        <v>14420</v>
      </c>
      <c r="U635" s="59">
        <f t="shared" si="54"/>
        <v>14420</v>
      </c>
      <c r="V635" s="59">
        <f t="shared" si="55"/>
        <v>105188</v>
      </c>
      <c r="W635" s="59">
        <f t="shared" si="56"/>
        <v>51234.4</v>
      </c>
      <c r="X635" s="60">
        <f t="shared" si="57"/>
        <v>16.383198700251086</v>
      </c>
      <c r="AC635" s="53"/>
      <c r="AL635" s="65">
        <f>_xlfn.IFERROR(INDEX('Tabela PW'!$T:$T,'Słownik PW'!C635,1),"")</f>
        <v>14420</v>
      </c>
    </row>
    <row r="636" spans="1:38" ht="15">
      <c r="A636" s="4" t="s">
        <v>552</v>
      </c>
      <c r="B636" s="5" t="s">
        <v>668</v>
      </c>
      <c r="C636" s="49" t="s">
        <v>619</v>
      </c>
      <c r="D636" s="349">
        <f t="shared" si="53"/>
        <v>57</v>
      </c>
      <c r="E636" s="350" t="s">
        <v>1341</v>
      </c>
      <c r="F636" s="51" t="s">
        <v>25</v>
      </c>
      <c r="G636" s="351" t="s">
        <v>683</v>
      </c>
      <c r="H636" s="351" t="s">
        <v>2648</v>
      </c>
      <c r="I636" s="351" t="s">
        <v>2649</v>
      </c>
      <c r="J636" s="351" t="s">
        <v>4336</v>
      </c>
      <c r="K636" s="354">
        <v>258</v>
      </c>
      <c r="L636" s="355">
        <v>242</v>
      </c>
      <c r="M636" s="354">
        <v>171</v>
      </c>
      <c r="N636" s="355">
        <v>343</v>
      </c>
      <c r="O636" s="355">
        <v>554</v>
      </c>
      <c r="P636" s="355">
        <v>1025</v>
      </c>
      <c r="Q636" s="355">
        <v>762</v>
      </c>
      <c r="R636" s="355">
        <v>435</v>
      </c>
      <c r="S636" s="355">
        <v>498</v>
      </c>
      <c r="T636" s="355">
        <v>394</v>
      </c>
      <c r="U636" s="59">
        <f t="shared" si="54"/>
        <v>171</v>
      </c>
      <c r="V636" s="59">
        <f t="shared" si="55"/>
        <v>1025</v>
      </c>
      <c r="W636" s="59">
        <f t="shared" si="56"/>
        <v>468.2</v>
      </c>
      <c r="X636" s="60">
        <f t="shared" si="57"/>
        <v>152.71317829457365</v>
      </c>
      <c r="AC636" s="53"/>
      <c r="AL636" s="65">
        <f>_xlfn.IFERROR(INDEX('Tabela PW'!$T:$T,'Słownik PW'!C636,1),"")</f>
        <v>394</v>
      </c>
    </row>
    <row r="637" spans="1:38" ht="15">
      <c r="A637" s="4" t="s">
        <v>552</v>
      </c>
      <c r="B637" s="5" t="s">
        <v>668</v>
      </c>
      <c r="C637" s="49" t="s">
        <v>620</v>
      </c>
      <c r="D637" s="349">
        <f t="shared" si="53"/>
        <v>85</v>
      </c>
      <c r="E637" s="350" t="s">
        <v>1342</v>
      </c>
      <c r="F637" s="51" t="s">
        <v>154</v>
      </c>
      <c r="G637" s="351" t="s">
        <v>682</v>
      </c>
      <c r="H637" s="351" t="s">
        <v>2650</v>
      </c>
      <c r="I637" s="351" t="s">
        <v>2651</v>
      </c>
      <c r="J637" s="351" t="s">
        <v>4337</v>
      </c>
      <c r="K637" s="354">
        <v>218</v>
      </c>
      <c r="L637" s="355">
        <v>172</v>
      </c>
      <c r="M637" s="354">
        <v>236</v>
      </c>
      <c r="N637" s="355">
        <v>206</v>
      </c>
      <c r="O637" s="355">
        <v>183</v>
      </c>
      <c r="P637" s="355">
        <v>59</v>
      </c>
      <c r="Q637" s="355">
        <v>46</v>
      </c>
      <c r="R637" s="355">
        <v>68</v>
      </c>
      <c r="S637" s="355">
        <v>81</v>
      </c>
      <c r="T637" s="355">
        <v>52</v>
      </c>
      <c r="U637" s="59">
        <f t="shared" si="54"/>
        <v>46</v>
      </c>
      <c r="V637" s="59">
        <f t="shared" si="55"/>
        <v>236</v>
      </c>
      <c r="W637" s="59">
        <f t="shared" si="56"/>
        <v>132.1</v>
      </c>
      <c r="X637" s="60">
        <f t="shared" si="57"/>
        <v>23.853211009174313</v>
      </c>
      <c r="AC637" s="53"/>
      <c r="AL637" s="65">
        <f>_xlfn.IFERROR(INDEX('Tabela PW'!$T:$T,'Słownik PW'!C637,1),"")</f>
        <v>52</v>
      </c>
    </row>
    <row r="638" spans="1:38" ht="15">
      <c r="A638" s="4" t="s">
        <v>552</v>
      </c>
      <c r="B638" s="5" t="s">
        <v>668</v>
      </c>
      <c r="C638" s="49" t="s">
        <v>621</v>
      </c>
      <c r="D638" s="349">
        <f t="shared" si="53"/>
        <v>64</v>
      </c>
      <c r="E638" s="350" t="s">
        <v>1343</v>
      </c>
      <c r="F638" s="51" t="s">
        <v>25</v>
      </c>
      <c r="G638" s="351" t="s">
        <v>683</v>
      </c>
      <c r="H638" s="351" t="s">
        <v>2652</v>
      </c>
      <c r="I638" s="351" t="s">
        <v>2653</v>
      </c>
      <c r="J638" s="351" t="s">
        <v>4338</v>
      </c>
      <c r="K638" s="354">
        <v>712</v>
      </c>
      <c r="L638" s="355">
        <v>1162</v>
      </c>
      <c r="M638" s="354">
        <v>851</v>
      </c>
      <c r="N638" s="355">
        <v>610</v>
      </c>
      <c r="O638" s="355">
        <v>1079</v>
      </c>
      <c r="P638" s="355">
        <v>1051</v>
      </c>
      <c r="Q638" s="355">
        <v>1590</v>
      </c>
      <c r="R638" s="355">
        <v>1098</v>
      </c>
      <c r="S638" s="355">
        <v>1678</v>
      </c>
      <c r="T638" s="355">
        <v>1727</v>
      </c>
      <c r="U638" s="59">
        <f t="shared" si="54"/>
        <v>610</v>
      </c>
      <c r="V638" s="59">
        <f t="shared" si="55"/>
        <v>1727</v>
      </c>
      <c r="W638" s="59">
        <f t="shared" si="56"/>
        <v>1155.8</v>
      </c>
      <c r="X638" s="60">
        <f t="shared" si="57"/>
        <v>242.55617977528087</v>
      </c>
      <c r="AC638" s="53"/>
      <c r="AL638" s="65">
        <f>_xlfn.IFERROR(INDEX('Tabela PW'!$T:$T,'Słownik PW'!C638,1),"")</f>
        <v>1727</v>
      </c>
    </row>
    <row r="639" spans="1:38" ht="15">
      <c r="A639" s="4" t="s">
        <v>622</v>
      </c>
      <c r="B639" s="5" t="s">
        <v>685</v>
      </c>
      <c r="C639" s="49" t="s">
        <v>623</v>
      </c>
      <c r="D639" s="349">
        <f t="shared" si="53"/>
        <v>51</v>
      </c>
      <c r="E639" s="350" t="s">
        <v>1344</v>
      </c>
      <c r="F639" s="51" t="s">
        <v>154</v>
      </c>
      <c r="G639" s="351" t="s">
        <v>682</v>
      </c>
      <c r="H639" s="351" t="s">
        <v>2654</v>
      </c>
      <c r="I639" s="351" t="s">
        <v>2655</v>
      </c>
      <c r="J639" s="351" t="s">
        <v>4339</v>
      </c>
      <c r="K639" s="354">
        <v>1675963</v>
      </c>
      <c r="L639" s="355">
        <v>1930331</v>
      </c>
      <c r="M639" s="354">
        <v>1589794</v>
      </c>
      <c r="N639" s="355">
        <v>1622335</v>
      </c>
      <c r="O639" s="355">
        <v>1534657</v>
      </c>
      <c r="P639" s="355">
        <v>1391379</v>
      </c>
      <c r="Q639" s="355">
        <v>1335729</v>
      </c>
      <c r="R639" s="355">
        <v>1321799</v>
      </c>
      <c r="S639" s="355">
        <v>1249010</v>
      </c>
      <c r="T639" s="355">
        <v>1528943</v>
      </c>
      <c r="U639" s="59">
        <f t="shared" si="54"/>
        <v>1249010</v>
      </c>
      <c r="V639" s="59">
        <f t="shared" si="55"/>
        <v>1930331</v>
      </c>
      <c r="W639" s="59">
        <f t="shared" si="56"/>
        <v>1517994</v>
      </c>
      <c r="X639" s="60">
        <f t="shared" si="57"/>
        <v>91.22772996778569</v>
      </c>
      <c r="AC639" s="53"/>
      <c r="AL639" s="65">
        <f>_xlfn.IFERROR(INDEX('Tabela PW'!$T:$T,'Słownik PW'!C639,1),"")</f>
        <v>1528943</v>
      </c>
    </row>
    <row r="640" spans="1:38" ht="15">
      <c r="A640" s="4" t="s">
        <v>622</v>
      </c>
      <c r="B640" s="5" t="s">
        <v>685</v>
      </c>
      <c r="C640" s="49" t="s">
        <v>624</v>
      </c>
      <c r="D640" s="349">
        <f t="shared" si="53"/>
        <v>17</v>
      </c>
      <c r="E640" s="350" t="s">
        <v>1345</v>
      </c>
      <c r="F640" s="51" t="s">
        <v>154</v>
      </c>
      <c r="G640" s="351" t="s">
        <v>682</v>
      </c>
      <c r="H640" s="351" t="s">
        <v>2656</v>
      </c>
      <c r="I640" s="351" t="s">
        <v>2657</v>
      </c>
      <c r="J640" s="351" t="s">
        <v>4340</v>
      </c>
      <c r="K640" s="354">
        <v>785005</v>
      </c>
      <c r="L640" s="355">
        <v>740548</v>
      </c>
      <c r="M640" s="354">
        <v>539671</v>
      </c>
      <c r="N640" s="355">
        <v>475119</v>
      </c>
      <c r="O640" s="355">
        <v>472567</v>
      </c>
      <c r="P640" s="355">
        <v>534685</v>
      </c>
      <c r="Q640" s="355">
        <v>554712</v>
      </c>
      <c r="R640" s="355">
        <v>514514</v>
      </c>
      <c r="S640" s="355">
        <v>451545</v>
      </c>
      <c r="T640" s="355">
        <v>434666</v>
      </c>
      <c r="U640" s="59">
        <f t="shared" si="54"/>
        <v>434666</v>
      </c>
      <c r="V640" s="59">
        <f t="shared" si="55"/>
        <v>785005</v>
      </c>
      <c r="W640" s="59">
        <f t="shared" si="56"/>
        <v>550303.2</v>
      </c>
      <c r="X640" s="60">
        <f t="shared" si="57"/>
        <v>55.37111228590901</v>
      </c>
      <c r="AC640" s="53"/>
      <c r="AL640" s="65">
        <f>_xlfn.IFERROR(INDEX('Tabela PW'!$T:$T,'Słownik PW'!C640,1),"")</f>
        <v>434666</v>
      </c>
    </row>
    <row r="641" spans="1:38" ht="15">
      <c r="A641" s="4" t="s">
        <v>622</v>
      </c>
      <c r="B641" s="5" t="s">
        <v>685</v>
      </c>
      <c r="C641" s="49" t="s">
        <v>625</v>
      </c>
      <c r="D641" s="349">
        <f aca="true" t="shared" si="58" ref="D641:D670">LEN(C641)</f>
        <v>68</v>
      </c>
      <c r="E641" s="350" t="s">
        <v>1346</v>
      </c>
      <c r="F641" s="51" t="s">
        <v>154</v>
      </c>
      <c r="G641" s="351" t="s">
        <v>682</v>
      </c>
      <c r="H641" s="351" t="s">
        <v>2658</v>
      </c>
      <c r="I641" s="351" t="s">
        <v>2659</v>
      </c>
      <c r="J641" s="351" t="s">
        <v>4341</v>
      </c>
      <c r="K641" s="354">
        <v>10484</v>
      </c>
      <c r="L641" s="355">
        <v>41841</v>
      </c>
      <c r="M641" s="354">
        <v>24841</v>
      </c>
      <c r="N641" s="355">
        <v>32774</v>
      </c>
      <c r="O641" s="355">
        <v>31127</v>
      </c>
      <c r="P641" s="355">
        <v>25139</v>
      </c>
      <c r="Q641" s="355">
        <v>26611</v>
      </c>
      <c r="R641" s="355">
        <v>26518</v>
      </c>
      <c r="S641" s="355">
        <v>21656</v>
      </c>
      <c r="T641" s="355">
        <v>18584</v>
      </c>
      <c r="U641" s="59">
        <f t="shared" si="54"/>
        <v>10484</v>
      </c>
      <c r="V641" s="59">
        <f t="shared" si="55"/>
        <v>41841</v>
      </c>
      <c r="W641" s="59">
        <f t="shared" si="56"/>
        <v>25957.5</v>
      </c>
      <c r="X641" s="60">
        <f t="shared" si="57"/>
        <v>177.26058756199922</v>
      </c>
      <c r="AC641" s="53"/>
      <c r="AL641" s="65">
        <f>_xlfn.IFERROR(INDEX('Tabela PW'!$T:$T,'Słownik PW'!C641,1),"")</f>
        <v>18584</v>
      </c>
    </row>
    <row r="642" spans="1:38" ht="15">
      <c r="A642" s="4" t="s">
        <v>622</v>
      </c>
      <c r="B642" s="5" t="s">
        <v>685</v>
      </c>
      <c r="C642" s="49" t="s">
        <v>626</v>
      </c>
      <c r="D642" s="349">
        <f t="shared" si="58"/>
        <v>67</v>
      </c>
      <c r="E642" s="350" t="s">
        <v>1347</v>
      </c>
      <c r="F642" s="51" t="s">
        <v>154</v>
      </c>
      <c r="G642" s="351" t="s">
        <v>682</v>
      </c>
      <c r="H642" s="351" t="s">
        <v>2660</v>
      </c>
      <c r="I642" s="351" t="s">
        <v>2661</v>
      </c>
      <c r="J642" s="351" t="s">
        <v>4342</v>
      </c>
      <c r="K642" s="354">
        <v>530682</v>
      </c>
      <c r="L642" s="355">
        <v>439091</v>
      </c>
      <c r="M642" s="354">
        <v>352012</v>
      </c>
      <c r="N642" s="355">
        <v>297311</v>
      </c>
      <c r="O642" s="355">
        <v>305946</v>
      </c>
      <c r="P642" s="355">
        <v>334604</v>
      </c>
      <c r="Q642" s="355">
        <v>341888</v>
      </c>
      <c r="R642" s="355">
        <v>332781</v>
      </c>
      <c r="S642" s="355">
        <v>322741</v>
      </c>
      <c r="T642" s="355">
        <v>343870</v>
      </c>
      <c r="U642" s="59">
        <f t="shared" si="54"/>
        <v>297311</v>
      </c>
      <c r="V642" s="59">
        <f t="shared" si="55"/>
        <v>530682</v>
      </c>
      <c r="W642" s="59">
        <f t="shared" si="56"/>
        <v>360092.6</v>
      </c>
      <c r="X642" s="60">
        <f t="shared" si="57"/>
        <v>64.79775081875775</v>
      </c>
      <c r="AC642" s="53"/>
      <c r="AL642" s="65">
        <f>_xlfn.IFERROR(INDEX('Tabela PW'!$T:$T,'Słownik PW'!C642,1),"")</f>
        <v>343870</v>
      </c>
    </row>
    <row r="643" spans="1:38" ht="15">
      <c r="A643" s="4" t="s">
        <v>622</v>
      </c>
      <c r="B643" s="5" t="s">
        <v>685</v>
      </c>
      <c r="C643" s="49" t="s">
        <v>627</v>
      </c>
      <c r="D643" s="349">
        <f t="shared" si="58"/>
        <v>68</v>
      </c>
      <c r="E643" s="350" t="s">
        <v>1348</v>
      </c>
      <c r="F643" s="51" t="s">
        <v>154</v>
      </c>
      <c r="G643" s="351" t="s">
        <v>682</v>
      </c>
      <c r="H643" s="351" t="s">
        <v>2662</v>
      </c>
      <c r="I643" s="351" t="s">
        <v>2663</v>
      </c>
      <c r="J643" s="351" t="s">
        <v>4343</v>
      </c>
      <c r="K643" s="354">
        <v>169185</v>
      </c>
      <c r="L643" s="355">
        <v>178089</v>
      </c>
      <c r="M643" s="354">
        <v>129790</v>
      </c>
      <c r="N643" s="355">
        <v>118319</v>
      </c>
      <c r="O643" s="355">
        <v>116621</v>
      </c>
      <c r="P643" s="355">
        <v>155722</v>
      </c>
      <c r="Q643" s="355">
        <v>167374</v>
      </c>
      <c r="R643" s="355">
        <v>137135</v>
      </c>
      <c r="S643" s="355">
        <v>99423</v>
      </c>
      <c r="T643" s="355">
        <v>72212</v>
      </c>
      <c r="U643" s="59">
        <f aca="true" t="shared" si="59" ref="U643:U670">MIN(K643:T643)</f>
        <v>72212</v>
      </c>
      <c r="V643" s="59">
        <f aca="true" t="shared" si="60" ref="V643:V670">MAX(K643:T643)</f>
        <v>178089</v>
      </c>
      <c r="W643" s="59">
        <f aca="true" t="shared" si="61" ref="W643:W670">AVERAGE(K643:T643)</f>
        <v>134387</v>
      </c>
      <c r="X643" s="60">
        <f aca="true" t="shared" si="62" ref="X643:X670">_xlfn.IFERROR(T643/K643*100,"-")</f>
        <v>42.682270886898955</v>
      </c>
      <c r="AC643" s="53"/>
      <c r="AL643" s="65">
        <f>_xlfn.IFERROR(INDEX('Tabela PW'!$T:$T,'Słownik PW'!C643,1),"")</f>
        <v>72212</v>
      </c>
    </row>
    <row r="644" spans="1:38" ht="15">
      <c r="A644" s="4" t="s">
        <v>622</v>
      </c>
      <c r="B644" s="5" t="s">
        <v>685</v>
      </c>
      <c r="C644" s="49" t="s">
        <v>4377</v>
      </c>
      <c r="D644" s="349">
        <f t="shared" si="58"/>
        <v>58</v>
      </c>
      <c r="E644" s="350" t="s">
        <v>1349</v>
      </c>
      <c r="F644" s="51" t="s">
        <v>154</v>
      </c>
      <c r="G644" s="351" t="s">
        <v>682</v>
      </c>
      <c r="H644" s="351" t="s">
        <v>2664</v>
      </c>
      <c r="I644" s="351" t="s">
        <v>2665</v>
      </c>
      <c r="J644" s="351" t="s">
        <v>4344</v>
      </c>
      <c r="K644" s="354">
        <v>4566</v>
      </c>
      <c r="L644" s="355">
        <v>5059</v>
      </c>
      <c r="M644" s="354">
        <v>4012</v>
      </c>
      <c r="N644" s="355">
        <v>4205</v>
      </c>
      <c r="O644" s="355">
        <v>5027</v>
      </c>
      <c r="P644" s="355">
        <v>5051</v>
      </c>
      <c r="Q644" s="355">
        <v>5293</v>
      </c>
      <c r="R644" s="355">
        <v>5310</v>
      </c>
      <c r="S644" s="355">
        <v>5987</v>
      </c>
      <c r="T644" s="355">
        <v>7358</v>
      </c>
      <c r="U644" s="59">
        <f t="shared" si="59"/>
        <v>4012</v>
      </c>
      <c r="V644" s="59">
        <f t="shared" si="60"/>
        <v>7358</v>
      </c>
      <c r="W644" s="59">
        <f t="shared" si="61"/>
        <v>5186.8</v>
      </c>
      <c r="X644" s="60">
        <f t="shared" si="62"/>
        <v>161.14761279018833</v>
      </c>
      <c r="AC644" s="53"/>
      <c r="AL644" s="65">
        <f>_xlfn.IFERROR(INDEX('Tabela PW'!$T:$T,'Słownik PW'!C644,1),"")</f>
        <v>7358</v>
      </c>
    </row>
    <row r="645" spans="1:38" ht="15">
      <c r="A645" s="4" t="s">
        <v>622</v>
      </c>
      <c r="B645" s="5" t="s">
        <v>685</v>
      </c>
      <c r="C645" s="49" t="s">
        <v>628</v>
      </c>
      <c r="D645" s="349">
        <f t="shared" si="58"/>
        <v>19</v>
      </c>
      <c r="E645" s="350" t="s">
        <v>1350</v>
      </c>
      <c r="F645" s="51" t="s">
        <v>154</v>
      </c>
      <c r="G645" s="351" t="s">
        <v>682</v>
      </c>
      <c r="H645" s="351" t="s">
        <v>2666</v>
      </c>
      <c r="I645" s="351" t="s">
        <v>2667</v>
      </c>
      <c r="J645" s="351" t="s">
        <v>4345</v>
      </c>
      <c r="K645" s="354">
        <v>76122</v>
      </c>
      <c r="L645" s="355">
        <v>86236</v>
      </c>
      <c r="M645" s="354">
        <v>99772</v>
      </c>
      <c r="N645" s="355">
        <v>104589</v>
      </c>
      <c r="O645" s="355">
        <v>109243</v>
      </c>
      <c r="P645" s="355">
        <v>112006</v>
      </c>
      <c r="Q645" s="355">
        <v>110995</v>
      </c>
      <c r="R645" s="355">
        <v>158224</v>
      </c>
      <c r="S645" s="355">
        <v>187740</v>
      </c>
      <c r="T645" s="355">
        <v>194819</v>
      </c>
      <c r="U645" s="59">
        <f t="shared" si="59"/>
        <v>76122</v>
      </c>
      <c r="V645" s="59">
        <f t="shared" si="60"/>
        <v>194819</v>
      </c>
      <c r="W645" s="59">
        <f t="shared" si="61"/>
        <v>123974.6</v>
      </c>
      <c r="X645" s="60">
        <f t="shared" si="62"/>
        <v>255.92995454664882</v>
      </c>
      <c r="AC645" s="53"/>
      <c r="AL645" s="65">
        <f>_xlfn.IFERROR(INDEX('Tabela PW'!$T:$T,'Słownik PW'!C645,1),"")</f>
        <v>194819</v>
      </c>
    </row>
    <row r="646" spans="1:38" ht="15">
      <c r="A646" s="4" t="s">
        <v>622</v>
      </c>
      <c r="B646" s="5" t="s">
        <v>685</v>
      </c>
      <c r="C646" s="49" t="s">
        <v>629</v>
      </c>
      <c r="D646" s="349">
        <f t="shared" si="58"/>
        <v>37</v>
      </c>
      <c r="E646" s="350" t="s">
        <v>1351</v>
      </c>
      <c r="F646" s="51" t="s">
        <v>154</v>
      </c>
      <c r="G646" s="351" t="s">
        <v>682</v>
      </c>
      <c r="H646" s="351" t="s">
        <v>2668</v>
      </c>
      <c r="I646" s="351" t="s">
        <v>2669</v>
      </c>
      <c r="J646" s="351" t="s">
        <v>4346</v>
      </c>
      <c r="K646" s="354">
        <v>3776</v>
      </c>
      <c r="L646" s="355">
        <v>5829</v>
      </c>
      <c r="M646" s="354">
        <v>4271</v>
      </c>
      <c r="N646" s="355">
        <v>6484</v>
      </c>
      <c r="O646" s="355">
        <v>6634</v>
      </c>
      <c r="P646" s="355">
        <v>8933</v>
      </c>
      <c r="Q646" s="355">
        <v>11005</v>
      </c>
      <c r="R646" s="355">
        <v>11549</v>
      </c>
      <c r="S646" s="355">
        <v>14401</v>
      </c>
      <c r="T646" s="355">
        <v>12983</v>
      </c>
      <c r="U646" s="59">
        <f t="shared" si="59"/>
        <v>3776</v>
      </c>
      <c r="V646" s="59">
        <f t="shared" si="60"/>
        <v>14401</v>
      </c>
      <c r="W646" s="59">
        <f t="shared" si="61"/>
        <v>8586.5</v>
      </c>
      <c r="X646" s="60">
        <f t="shared" si="62"/>
        <v>343.8294491525424</v>
      </c>
      <c r="AC646" s="53"/>
      <c r="AL646" s="65">
        <f>_xlfn.IFERROR(INDEX('Tabela PW'!$T:$T,'Słownik PW'!C646,1),"")</f>
        <v>12983</v>
      </c>
    </row>
    <row r="647" spans="1:38" ht="15">
      <c r="A647" s="4" t="s">
        <v>622</v>
      </c>
      <c r="B647" s="5" t="s">
        <v>685</v>
      </c>
      <c r="C647" s="49" t="s">
        <v>630</v>
      </c>
      <c r="D647" s="349">
        <f t="shared" si="58"/>
        <v>45</v>
      </c>
      <c r="E647" s="350" t="s">
        <v>1352</v>
      </c>
      <c r="F647" s="51" t="s">
        <v>154</v>
      </c>
      <c r="G647" s="351" t="s">
        <v>682</v>
      </c>
      <c r="H647" s="351" t="s">
        <v>2670</v>
      </c>
      <c r="I647" s="351" t="s">
        <v>2671</v>
      </c>
      <c r="J647" s="351" t="s">
        <v>4347</v>
      </c>
      <c r="K647" s="354">
        <v>1807</v>
      </c>
      <c r="L647" s="355">
        <v>2122</v>
      </c>
      <c r="M647" s="354">
        <v>3718</v>
      </c>
      <c r="N647" s="355">
        <v>7576</v>
      </c>
      <c r="O647" s="355">
        <v>6131</v>
      </c>
      <c r="P647" s="355">
        <v>7974</v>
      </c>
      <c r="Q647" s="355">
        <v>7245</v>
      </c>
      <c r="R647" s="355">
        <v>8940</v>
      </c>
      <c r="S647" s="355">
        <v>10582</v>
      </c>
      <c r="T647" s="355">
        <v>10228</v>
      </c>
      <c r="U647" s="59">
        <f t="shared" si="59"/>
        <v>1807</v>
      </c>
      <c r="V647" s="59">
        <f t="shared" si="60"/>
        <v>10582</v>
      </c>
      <c r="W647" s="59">
        <f t="shared" si="61"/>
        <v>6632.3</v>
      </c>
      <c r="X647" s="60">
        <f t="shared" si="62"/>
        <v>566.0210293303819</v>
      </c>
      <c r="AC647" s="53"/>
      <c r="AL647" s="65">
        <f>_xlfn.IFERROR(INDEX('Tabela PW'!$T:$T,'Słownik PW'!C647,1),"")</f>
        <v>10228</v>
      </c>
    </row>
    <row r="648" spans="1:38" ht="15">
      <c r="A648" s="4" t="s">
        <v>622</v>
      </c>
      <c r="B648" s="5" t="s">
        <v>685</v>
      </c>
      <c r="C648" s="49" t="s">
        <v>631</v>
      </c>
      <c r="D648" s="349">
        <f t="shared" si="58"/>
        <v>73</v>
      </c>
      <c r="E648" s="350" t="s">
        <v>1353</v>
      </c>
      <c r="F648" s="51" t="s">
        <v>154</v>
      </c>
      <c r="G648" s="351" t="s">
        <v>682</v>
      </c>
      <c r="H648" s="351" t="s">
        <v>2672</v>
      </c>
      <c r="I648" s="351" t="s">
        <v>2673</v>
      </c>
      <c r="J648" s="351" t="s">
        <v>4348</v>
      </c>
      <c r="K648" s="354">
        <v>38546</v>
      </c>
      <c r="L648" s="355">
        <v>44513</v>
      </c>
      <c r="M648" s="354">
        <v>38357</v>
      </c>
      <c r="N648" s="355">
        <v>40461</v>
      </c>
      <c r="O648" s="355">
        <v>40707</v>
      </c>
      <c r="P648" s="355">
        <v>38186</v>
      </c>
      <c r="Q648" s="355">
        <v>56501</v>
      </c>
      <c r="R648" s="355">
        <v>60423</v>
      </c>
      <c r="S648" s="355">
        <v>62164</v>
      </c>
      <c r="T648" s="355">
        <v>64524</v>
      </c>
      <c r="U648" s="59">
        <f t="shared" si="59"/>
        <v>38186</v>
      </c>
      <c r="V648" s="59">
        <f t="shared" si="60"/>
        <v>64524</v>
      </c>
      <c r="W648" s="59">
        <f t="shared" si="61"/>
        <v>48438.2</v>
      </c>
      <c r="X648" s="60">
        <f t="shared" si="62"/>
        <v>167.39480101696674</v>
      </c>
      <c r="AC648" s="53"/>
      <c r="AL648" s="65">
        <f>_xlfn.IFERROR(INDEX('Tabela PW'!$T:$T,'Słownik PW'!C648,1),"")</f>
        <v>64524</v>
      </c>
    </row>
    <row r="649" spans="1:38" ht="15">
      <c r="A649" s="4" t="s">
        <v>622</v>
      </c>
      <c r="B649" s="5" t="s">
        <v>685</v>
      </c>
      <c r="C649" s="49" t="s">
        <v>632</v>
      </c>
      <c r="D649" s="349">
        <f t="shared" si="58"/>
        <v>44</v>
      </c>
      <c r="E649" s="350" t="s">
        <v>1354</v>
      </c>
      <c r="F649" s="51" t="s">
        <v>154</v>
      </c>
      <c r="G649" s="351" t="s">
        <v>682</v>
      </c>
      <c r="H649" s="351" t="s">
        <v>2674</v>
      </c>
      <c r="I649" s="351" t="s">
        <v>2675</v>
      </c>
      <c r="J649" s="351" t="s">
        <v>4349</v>
      </c>
      <c r="K649" s="354">
        <v>19763</v>
      </c>
      <c r="L649" s="355">
        <v>29870</v>
      </c>
      <c r="M649" s="354">
        <v>36484</v>
      </c>
      <c r="N649" s="355">
        <v>35835</v>
      </c>
      <c r="O649" s="355">
        <v>41781</v>
      </c>
      <c r="P649" s="355">
        <v>36207</v>
      </c>
      <c r="Q649" s="355">
        <v>37650</v>
      </c>
      <c r="R649" s="355">
        <v>56933</v>
      </c>
      <c r="S649" s="355">
        <v>34263</v>
      </c>
      <c r="T649" s="355">
        <v>70084</v>
      </c>
      <c r="U649" s="59">
        <f t="shared" si="59"/>
        <v>19763</v>
      </c>
      <c r="V649" s="59">
        <f t="shared" si="60"/>
        <v>70084</v>
      </c>
      <c r="W649" s="59">
        <f t="shared" si="61"/>
        <v>39887</v>
      </c>
      <c r="X649" s="60">
        <f t="shared" si="62"/>
        <v>354.62227394626325</v>
      </c>
      <c r="AC649" s="53"/>
      <c r="AL649" s="65">
        <f>_xlfn.IFERROR(INDEX('Tabela PW'!$T:$T,'Słownik PW'!C649,1),"")</f>
        <v>70084</v>
      </c>
    </row>
    <row r="650" spans="1:38" ht="15">
      <c r="A650" s="4" t="s">
        <v>633</v>
      </c>
      <c r="B650" s="5" t="s">
        <v>686</v>
      </c>
      <c r="C650" s="49" t="s">
        <v>634</v>
      </c>
      <c r="D650" s="349">
        <f t="shared" si="58"/>
        <v>14</v>
      </c>
      <c r="E650" s="350" t="s">
        <v>1355</v>
      </c>
      <c r="F650" s="51" t="s">
        <v>635</v>
      </c>
      <c r="G650" s="351" t="s">
        <v>665</v>
      </c>
      <c r="H650" s="351" t="s">
        <v>2676</v>
      </c>
      <c r="I650" s="351" t="s">
        <v>2677</v>
      </c>
      <c r="J650" s="351" t="s">
        <v>4350</v>
      </c>
      <c r="K650" s="354">
        <v>26752</v>
      </c>
      <c r="L650" s="355">
        <v>64142</v>
      </c>
      <c r="M650" s="354">
        <v>57611</v>
      </c>
      <c r="N650" s="355">
        <v>8988</v>
      </c>
      <c r="O650" s="355">
        <v>46433</v>
      </c>
      <c r="P650" s="355">
        <v>5087</v>
      </c>
      <c r="Q650" s="355">
        <v>6405</v>
      </c>
      <c r="R650" s="355">
        <v>27893</v>
      </c>
      <c r="S650" s="355">
        <v>7392</v>
      </c>
      <c r="T650" s="355">
        <v>10192</v>
      </c>
      <c r="U650" s="59">
        <f t="shared" si="59"/>
        <v>5087</v>
      </c>
      <c r="V650" s="59">
        <f t="shared" si="60"/>
        <v>64142</v>
      </c>
      <c r="W650" s="59">
        <f t="shared" si="61"/>
        <v>26089.5</v>
      </c>
      <c r="X650" s="60">
        <f t="shared" si="62"/>
        <v>38.09808612440192</v>
      </c>
      <c r="AC650" s="53"/>
      <c r="AL650" s="65">
        <f>_xlfn.IFERROR(INDEX('Tabela PW'!$T:$T,'Słownik PW'!C650,1),"")</f>
        <v>10192</v>
      </c>
    </row>
    <row r="651" spans="1:38" ht="15">
      <c r="A651" s="4" t="s">
        <v>633</v>
      </c>
      <c r="B651" s="5" t="s">
        <v>686</v>
      </c>
      <c r="C651" s="49" t="s">
        <v>634</v>
      </c>
      <c r="D651" s="349">
        <f t="shared" si="58"/>
        <v>14</v>
      </c>
      <c r="E651" s="350" t="s">
        <v>1356</v>
      </c>
      <c r="F651" s="51" t="s">
        <v>154</v>
      </c>
      <c r="G651" s="351" t="s">
        <v>682</v>
      </c>
      <c r="H651" s="351" t="s">
        <v>2678</v>
      </c>
      <c r="I651" s="351" t="s">
        <v>2679</v>
      </c>
      <c r="J651" s="351" t="s">
        <v>4351</v>
      </c>
      <c r="K651" s="354">
        <v>13</v>
      </c>
      <c r="L651" s="355">
        <v>20</v>
      </c>
      <c r="M651" s="354">
        <v>19</v>
      </c>
      <c r="N651" s="355">
        <v>3</v>
      </c>
      <c r="O651" s="355">
        <v>5</v>
      </c>
      <c r="P651" s="355">
        <v>1</v>
      </c>
      <c r="Q651" s="355">
        <v>5</v>
      </c>
      <c r="R651" s="355">
        <v>7</v>
      </c>
      <c r="S651" s="355">
        <v>5</v>
      </c>
      <c r="T651" s="355">
        <v>4</v>
      </c>
      <c r="U651" s="59">
        <f t="shared" si="59"/>
        <v>1</v>
      </c>
      <c r="V651" s="59">
        <f t="shared" si="60"/>
        <v>20</v>
      </c>
      <c r="W651" s="59">
        <f t="shared" si="61"/>
        <v>8.2</v>
      </c>
      <c r="X651" s="60">
        <f t="shared" si="62"/>
        <v>30.76923076923077</v>
      </c>
      <c r="AC651" s="53"/>
      <c r="AL651" s="65">
        <f>_xlfn.IFERROR(INDEX('Tabela PW'!$T:$T,'Słownik PW'!C651,1),"")</f>
        <v>4</v>
      </c>
    </row>
    <row r="652" spans="1:38" ht="15">
      <c r="A652" s="4" t="s">
        <v>633</v>
      </c>
      <c r="B652" s="5" t="s">
        <v>686</v>
      </c>
      <c r="C652" s="49" t="s">
        <v>636</v>
      </c>
      <c r="D652" s="349">
        <f t="shared" si="58"/>
        <v>51</v>
      </c>
      <c r="E652" s="350" t="s">
        <v>1357</v>
      </c>
      <c r="F652" s="51" t="s">
        <v>154</v>
      </c>
      <c r="G652" s="351" t="s">
        <v>682</v>
      </c>
      <c r="H652" s="351" t="s">
        <v>2680</v>
      </c>
      <c r="I652" s="351" t="s">
        <v>2681</v>
      </c>
      <c r="J652" s="351" t="s">
        <v>4352</v>
      </c>
      <c r="K652" s="354">
        <v>4971</v>
      </c>
      <c r="L652" s="355">
        <v>4990</v>
      </c>
      <c r="M652" s="354">
        <v>3663</v>
      </c>
      <c r="N652" s="355">
        <v>3718</v>
      </c>
      <c r="O652" s="355">
        <v>4166</v>
      </c>
      <c r="P652" s="355">
        <v>6024</v>
      </c>
      <c r="Q652" s="355">
        <v>6095</v>
      </c>
      <c r="R652" s="355">
        <v>6906</v>
      </c>
      <c r="S652" s="355">
        <v>6167</v>
      </c>
      <c r="T652" s="355">
        <v>7551</v>
      </c>
      <c r="U652" s="59">
        <f t="shared" si="59"/>
        <v>3663</v>
      </c>
      <c r="V652" s="59">
        <f t="shared" si="60"/>
        <v>7551</v>
      </c>
      <c r="W652" s="59">
        <f t="shared" si="61"/>
        <v>5425.1</v>
      </c>
      <c r="X652" s="60">
        <f t="shared" si="62"/>
        <v>151.90102595051297</v>
      </c>
      <c r="AC652" s="53"/>
      <c r="AL652" s="65">
        <f>_xlfn.IFERROR(INDEX('Tabela PW'!$T:$T,'Słownik PW'!C652,1),"")</f>
        <v>7551</v>
      </c>
    </row>
    <row r="653" spans="1:38" ht="15">
      <c r="A653" s="4" t="s">
        <v>633</v>
      </c>
      <c r="B653" s="5" t="s">
        <v>686</v>
      </c>
      <c r="C653" s="49" t="s">
        <v>4386</v>
      </c>
      <c r="D653" s="349">
        <f t="shared" si="58"/>
        <v>60</v>
      </c>
      <c r="E653" s="350" t="s">
        <v>1358</v>
      </c>
      <c r="F653" s="51" t="s">
        <v>154</v>
      </c>
      <c r="G653" s="351" t="s">
        <v>682</v>
      </c>
      <c r="H653" s="351" t="s">
        <v>2682</v>
      </c>
      <c r="I653" s="351" t="s">
        <v>2683</v>
      </c>
      <c r="J653" s="351" t="s">
        <v>4353</v>
      </c>
      <c r="K653" s="354">
        <v>2768</v>
      </c>
      <c r="L653" s="355">
        <v>5187</v>
      </c>
      <c r="M653" s="354">
        <v>4872</v>
      </c>
      <c r="N653" s="355">
        <v>2984</v>
      </c>
      <c r="O653" s="355">
        <v>2412</v>
      </c>
      <c r="P653" s="355">
        <v>2740</v>
      </c>
      <c r="Q653" s="355">
        <v>2498</v>
      </c>
      <c r="R653" s="355">
        <v>2535</v>
      </c>
      <c r="S653" s="355">
        <v>2508</v>
      </c>
      <c r="T653" s="355">
        <v>3032</v>
      </c>
      <c r="U653" s="59">
        <f t="shared" si="59"/>
        <v>2412</v>
      </c>
      <c r="V653" s="59">
        <f t="shared" si="60"/>
        <v>5187</v>
      </c>
      <c r="W653" s="59">
        <f t="shared" si="61"/>
        <v>3153.6</v>
      </c>
      <c r="X653" s="60">
        <f t="shared" si="62"/>
        <v>109.53757225433527</v>
      </c>
      <c r="AC653" s="53"/>
      <c r="AL653" s="65">
        <f>_xlfn.IFERROR(INDEX('Tabela PW'!$T:$T,'Słownik PW'!C653,1),"")</f>
        <v>3032</v>
      </c>
    </row>
    <row r="654" spans="1:38" ht="15">
      <c r="A654" s="4" t="s">
        <v>633</v>
      </c>
      <c r="B654" s="5" t="s">
        <v>686</v>
      </c>
      <c r="C654" s="49" t="s">
        <v>637</v>
      </c>
      <c r="D654" s="349">
        <f t="shared" si="58"/>
        <v>77</v>
      </c>
      <c r="E654" s="350" t="s">
        <v>1359</v>
      </c>
      <c r="F654" s="51" t="s">
        <v>516</v>
      </c>
      <c r="G654" s="351" t="s">
        <v>677</v>
      </c>
      <c r="H654" s="351" t="s">
        <v>2684</v>
      </c>
      <c r="I654" s="351" t="s">
        <v>2685</v>
      </c>
      <c r="J654" s="351" t="s">
        <v>4354</v>
      </c>
      <c r="K654" s="354">
        <v>5880</v>
      </c>
      <c r="L654" s="355">
        <v>8877</v>
      </c>
      <c r="M654" s="354">
        <v>102911</v>
      </c>
      <c r="N654" s="355">
        <v>148708</v>
      </c>
      <c r="O654" s="355">
        <v>191583</v>
      </c>
      <c r="P654" s="355">
        <v>231739</v>
      </c>
      <c r="Q654" s="355">
        <v>236734</v>
      </c>
      <c r="R654" s="355">
        <v>216713</v>
      </c>
      <c r="S654" s="355">
        <v>214586</v>
      </c>
      <c r="T654" s="355">
        <v>225862</v>
      </c>
      <c r="U654" s="59">
        <f t="shared" si="59"/>
        <v>5880</v>
      </c>
      <c r="V654" s="59">
        <f t="shared" si="60"/>
        <v>236734</v>
      </c>
      <c r="W654" s="59">
        <f t="shared" si="61"/>
        <v>158359.3</v>
      </c>
      <c r="X654" s="60">
        <f t="shared" si="62"/>
        <v>3841.1904761904766</v>
      </c>
      <c r="AC654" s="53"/>
      <c r="AL654" s="65">
        <f>_xlfn.IFERROR(INDEX('Tabela PW'!$T:$T,'Słownik PW'!C654,1),"")</f>
        <v>225862</v>
      </c>
    </row>
    <row r="655" spans="1:38" ht="15">
      <c r="A655" s="4" t="s">
        <v>633</v>
      </c>
      <c r="B655" s="5" t="s">
        <v>686</v>
      </c>
      <c r="C655" s="49" t="s">
        <v>637</v>
      </c>
      <c r="D655" s="349">
        <f t="shared" si="58"/>
        <v>77</v>
      </c>
      <c r="E655" s="350" t="s">
        <v>1360</v>
      </c>
      <c r="F655" s="51" t="s">
        <v>154</v>
      </c>
      <c r="G655" s="351" t="s">
        <v>682</v>
      </c>
      <c r="H655" s="351" t="s">
        <v>2686</v>
      </c>
      <c r="I655" s="351" t="s">
        <v>2687</v>
      </c>
      <c r="J655" s="351" t="s">
        <v>4355</v>
      </c>
      <c r="K655" s="354">
        <v>8</v>
      </c>
      <c r="L655" s="355">
        <v>18</v>
      </c>
      <c r="M655" s="354">
        <v>279</v>
      </c>
      <c r="N655" s="355">
        <v>339</v>
      </c>
      <c r="O655" s="355">
        <v>382</v>
      </c>
      <c r="P655" s="355">
        <v>424</v>
      </c>
      <c r="Q655" s="355">
        <v>463</v>
      </c>
      <c r="R655" s="355">
        <v>411</v>
      </c>
      <c r="S655" s="355">
        <v>416</v>
      </c>
      <c r="T655" s="355">
        <v>430</v>
      </c>
      <c r="U655" s="59">
        <f t="shared" si="59"/>
        <v>8</v>
      </c>
      <c r="V655" s="59">
        <f t="shared" si="60"/>
        <v>463</v>
      </c>
      <c r="W655" s="59">
        <f t="shared" si="61"/>
        <v>317</v>
      </c>
      <c r="X655" s="60">
        <f t="shared" si="62"/>
        <v>5375</v>
      </c>
      <c r="AC655" s="53"/>
      <c r="AL655" s="65">
        <f>_xlfn.IFERROR(INDEX('Tabela PW'!$T:$T,'Słownik PW'!C655,1),"")</f>
        <v>430</v>
      </c>
    </row>
    <row r="656" spans="1:38" ht="15">
      <c r="A656" s="4" t="s">
        <v>633</v>
      </c>
      <c r="B656" s="5" t="s">
        <v>686</v>
      </c>
      <c r="C656" s="49" t="s">
        <v>638</v>
      </c>
      <c r="D656" s="349">
        <f t="shared" si="58"/>
        <v>77</v>
      </c>
      <c r="E656" s="350" t="s">
        <v>1361</v>
      </c>
      <c r="F656" s="51" t="s">
        <v>154</v>
      </c>
      <c r="G656" s="351" t="s">
        <v>682</v>
      </c>
      <c r="H656" s="351" t="s">
        <v>2688</v>
      </c>
      <c r="I656" s="351" t="s">
        <v>2689</v>
      </c>
      <c r="J656" s="351" t="s">
        <v>4356</v>
      </c>
      <c r="K656" s="354">
        <v>65</v>
      </c>
      <c r="L656" s="355">
        <v>80</v>
      </c>
      <c r="M656" s="354">
        <v>70</v>
      </c>
      <c r="N656" s="355">
        <v>43</v>
      </c>
      <c r="O656" s="355">
        <v>35</v>
      </c>
      <c r="P656" s="355">
        <v>29</v>
      </c>
      <c r="Q656" s="355">
        <v>29</v>
      </c>
      <c r="R656" s="355">
        <v>41</v>
      </c>
      <c r="S656" s="355">
        <v>20</v>
      </c>
      <c r="T656" s="355">
        <v>21</v>
      </c>
      <c r="U656" s="59">
        <f t="shared" si="59"/>
        <v>20</v>
      </c>
      <c r="V656" s="59">
        <f t="shared" si="60"/>
        <v>80</v>
      </c>
      <c r="W656" s="59">
        <f t="shared" si="61"/>
        <v>43.3</v>
      </c>
      <c r="X656" s="60">
        <f t="shared" si="62"/>
        <v>32.30769230769231</v>
      </c>
      <c r="AC656" s="53"/>
      <c r="AL656" s="65">
        <f>_xlfn.IFERROR(INDEX('Tabela PW'!$T:$T,'Słownik PW'!C656,1),"")</f>
        <v>21</v>
      </c>
    </row>
    <row r="657" spans="1:38" ht="15">
      <c r="A657" s="4" t="s">
        <v>633</v>
      </c>
      <c r="B657" s="5" t="s">
        <v>686</v>
      </c>
      <c r="C657" s="49" t="s">
        <v>639</v>
      </c>
      <c r="D657" s="349">
        <f t="shared" si="58"/>
        <v>6</v>
      </c>
      <c r="E657" s="350" t="s">
        <v>1362</v>
      </c>
      <c r="F657" s="51" t="s">
        <v>154</v>
      </c>
      <c r="G657" s="351" t="s">
        <v>682</v>
      </c>
      <c r="H657" s="351" t="s">
        <v>2690</v>
      </c>
      <c r="I657" s="351" t="s">
        <v>2691</v>
      </c>
      <c r="J657" s="351" t="s">
        <v>4357</v>
      </c>
      <c r="K657" s="354">
        <v>908136</v>
      </c>
      <c r="L657" s="355">
        <v>895510</v>
      </c>
      <c r="M657" s="354">
        <v>1019773</v>
      </c>
      <c r="N657" s="355">
        <v>970812</v>
      </c>
      <c r="O657" s="355">
        <v>1127480</v>
      </c>
      <c r="P657" s="355">
        <v>1166310</v>
      </c>
      <c r="Q657" s="355">
        <v>1151494</v>
      </c>
      <c r="R657" s="355">
        <v>1077538</v>
      </c>
      <c r="S657" s="355">
        <v>1088644</v>
      </c>
      <c r="T657" s="355">
        <v>1133828</v>
      </c>
      <c r="U657" s="59">
        <f t="shared" si="59"/>
        <v>895510</v>
      </c>
      <c r="V657" s="59">
        <f t="shared" si="60"/>
        <v>1166310</v>
      </c>
      <c r="W657" s="59">
        <f t="shared" si="61"/>
        <v>1053952.5</v>
      </c>
      <c r="X657" s="60">
        <f t="shared" si="62"/>
        <v>124.85222477690566</v>
      </c>
      <c r="AC657" s="53"/>
      <c r="AL657" s="65">
        <f>_xlfn.IFERROR(INDEX('Tabela PW'!$T:$T,'Słownik PW'!C657,1),"")</f>
        <v>1133828</v>
      </c>
    </row>
    <row r="658" spans="1:38" ht="15">
      <c r="A658" s="4" t="s">
        <v>633</v>
      </c>
      <c r="B658" s="5" t="s">
        <v>686</v>
      </c>
      <c r="C658" s="49" t="s">
        <v>640</v>
      </c>
      <c r="D658" s="349">
        <f t="shared" si="58"/>
        <v>14</v>
      </c>
      <c r="E658" s="350" t="s">
        <v>1363</v>
      </c>
      <c r="F658" s="51" t="s">
        <v>154</v>
      </c>
      <c r="G658" s="351" t="s">
        <v>682</v>
      </c>
      <c r="H658" s="351" t="s">
        <v>2692</v>
      </c>
      <c r="I658" s="351" t="s">
        <v>2693</v>
      </c>
      <c r="J658" s="351" t="s">
        <v>4358</v>
      </c>
      <c r="K658" s="354">
        <v>208550</v>
      </c>
      <c r="L658" s="355">
        <v>125662</v>
      </c>
      <c r="M658" s="354">
        <v>171653</v>
      </c>
      <c r="N658" s="355">
        <v>165481</v>
      </c>
      <c r="O658" s="355">
        <v>161384</v>
      </c>
      <c r="P658" s="355">
        <v>191037</v>
      </c>
      <c r="Q658" s="355">
        <v>221823</v>
      </c>
      <c r="R658" s="355">
        <v>221113</v>
      </c>
      <c r="S658" s="355">
        <v>228157</v>
      </c>
      <c r="T658" s="355">
        <v>306580</v>
      </c>
      <c r="U658" s="59">
        <f t="shared" si="59"/>
        <v>125662</v>
      </c>
      <c r="V658" s="59">
        <f t="shared" si="60"/>
        <v>306580</v>
      </c>
      <c r="W658" s="59">
        <f t="shared" si="61"/>
        <v>200144</v>
      </c>
      <c r="X658" s="60">
        <f t="shared" si="62"/>
        <v>147.00551426516424</v>
      </c>
      <c r="AC658" s="53"/>
      <c r="AL658" s="65">
        <f>_xlfn.IFERROR(INDEX('Tabela PW'!$T:$T,'Słownik PW'!C658,1),"")</f>
        <v>306580</v>
      </c>
    </row>
    <row r="659" spans="1:38" ht="15">
      <c r="A659" s="4" t="s">
        <v>641</v>
      </c>
      <c r="B659" s="5" t="s">
        <v>687</v>
      </c>
      <c r="C659" s="49" t="s">
        <v>642</v>
      </c>
      <c r="D659" s="349">
        <f t="shared" si="58"/>
        <v>101</v>
      </c>
      <c r="E659" s="350" t="s">
        <v>1364</v>
      </c>
      <c r="F659" s="51" t="s">
        <v>156</v>
      </c>
      <c r="G659" s="351" t="s">
        <v>705</v>
      </c>
      <c r="H659" s="351" t="s">
        <v>2694</v>
      </c>
      <c r="I659" s="351" t="s">
        <v>2695</v>
      </c>
      <c r="J659" s="351" t="s">
        <v>4359</v>
      </c>
      <c r="K659" s="354">
        <v>2284</v>
      </c>
      <c r="L659" s="355">
        <v>2581</v>
      </c>
      <c r="M659" s="354">
        <v>2957</v>
      </c>
      <c r="N659" s="355">
        <v>3237</v>
      </c>
      <c r="O659" s="355">
        <v>3612</v>
      </c>
      <c r="P659" s="355">
        <v>4069</v>
      </c>
      <c r="Q659" s="355">
        <v>3790</v>
      </c>
      <c r="R659" s="355">
        <v>3996</v>
      </c>
      <c r="S659" s="355">
        <v>3268</v>
      </c>
      <c r="T659" s="355">
        <v>3055</v>
      </c>
      <c r="U659" s="59">
        <f t="shared" si="59"/>
        <v>2284</v>
      </c>
      <c r="V659" s="59">
        <f t="shared" si="60"/>
        <v>4069</v>
      </c>
      <c r="W659" s="59">
        <f t="shared" si="61"/>
        <v>3284.9</v>
      </c>
      <c r="X659" s="60">
        <f t="shared" si="62"/>
        <v>133.7565674255692</v>
      </c>
      <c r="AC659" s="53"/>
      <c r="AL659" s="65">
        <f>_xlfn.IFERROR(INDEX('Tabela PW'!$T:$T,'Słownik PW'!C659,1),"")</f>
        <v>3055</v>
      </c>
    </row>
    <row r="660" spans="1:38" ht="15">
      <c r="A660" s="4" t="s">
        <v>641</v>
      </c>
      <c r="B660" s="5" t="s">
        <v>687</v>
      </c>
      <c r="C660" s="49" t="s">
        <v>643</v>
      </c>
      <c r="D660" s="349">
        <f t="shared" si="58"/>
        <v>46</v>
      </c>
      <c r="E660" s="350" t="s">
        <v>1365</v>
      </c>
      <c r="F660" s="51" t="s">
        <v>156</v>
      </c>
      <c r="G660" s="351" t="s">
        <v>705</v>
      </c>
      <c r="H660" s="351" t="s">
        <v>2696</v>
      </c>
      <c r="I660" s="351" t="s">
        <v>2697</v>
      </c>
      <c r="J660" s="351" t="s">
        <v>4360</v>
      </c>
      <c r="K660" s="354">
        <v>10495</v>
      </c>
      <c r="L660" s="355">
        <v>10217</v>
      </c>
      <c r="M660" s="354">
        <v>11082</v>
      </c>
      <c r="N660" s="355">
        <v>11077</v>
      </c>
      <c r="O660" s="355">
        <v>12125</v>
      </c>
      <c r="P660" s="355">
        <v>13586</v>
      </c>
      <c r="Q660" s="355">
        <v>14637</v>
      </c>
      <c r="R660" s="355">
        <v>15238</v>
      </c>
      <c r="S660" s="355">
        <v>15548</v>
      </c>
      <c r="T660" s="355">
        <v>15639</v>
      </c>
      <c r="U660" s="59">
        <f t="shared" si="59"/>
        <v>10217</v>
      </c>
      <c r="V660" s="59">
        <f t="shared" si="60"/>
        <v>15639</v>
      </c>
      <c r="W660" s="59">
        <f t="shared" si="61"/>
        <v>12964.4</v>
      </c>
      <c r="X660" s="60">
        <f t="shared" si="62"/>
        <v>149.01381610290613</v>
      </c>
      <c r="AC660" s="53"/>
      <c r="AL660" s="65">
        <f>_xlfn.IFERROR(INDEX('Tabela PW'!$T:$T,'Słownik PW'!C660,1),"")</f>
        <v>15639</v>
      </c>
    </row>
    <row r="661" spans="1:38" ht="15">
      <c r="A661" s="4" t="s">
        <v>641</v>
      </c>
      <c r="B661" s="5" t="s">
        <v>687</v>
      </c>
      <c r="C661" s="49" t="s">
        <v>644</v>
      </c>
      <c r="D661" s="349">
        <f t="shared" si="58"/>
        <v>62</v>
      </c>
      <c r="E661" s="350" t="s">
        <v>1366</v>
      </c>
      <c r="F661" s="51" t="s">
        <v>156</v>
      </c>
      <c r="G661" s="351" t="s">
        <v>705</v>
      </c>
      <c r="H661" s="351" t="s">
        <v>2698</v>
      </c>
      <c r="I661" s="351" t="s">
        <v>2699</v>
      </c>
      <c r="J661" s="351" t="s">
        <v>4361</v>
      </c>
      <c r="K661" s="354">
        <v>1622</v>
      </c>
      <c r="L661" s="355">
        <v>938</v>
      </c>
      <c r="M661" s="354">
        <v>1332</v>
      </c>
      <c r="N661" s="355">
        <v>834</v>
      </c>
      <c r="O661" s="355">
        <v>898</v>
      </c>
      <c r="P661" s="355">
        <v>970</v>
      </c>
      <c r="Q661" s="355">
        <v>1115</v>
      </c>
      <c r="R661" s="355">
        <v>933</v>
      </c>
      <c r="S661" s="355">
        <v>1043</v>
      </c>
      <c r="T661" s="355">
        <v>1588</v>
      </c>
      <c r="U661" s="59">
        <f t="shared" si="59"/>
        <v>834</v>
      </c>
      <c r="V661" s="59">
        <f t="shared" si="60"/>
        <v>1622</v>
      </c>
      <c r="W661" s="59">
        <f t="shared" si="61"/>
        <v>1127.3</v>
      </c>
      <c r="X661" s="60">
        <f t="shared" si="62"/>
        <v>97.90382244143034</v>
      </c>
      <c r="AC661" s="53"/>
      <c r="AL661" s="65">
        <f>_xlfn.IFERROR(INDEX('Tabela PW'!$T:$T,'Słownik PW'!C661,1),"")</f>
        <v>1588</v>
      </c>
    </row>
    <row r="662" spans="1:38" ht="15">
      <c r="A662" s="4" t="s">
        <v>641</v>
      </c>
      <c r="B662" s="5" t="s">
        <v>687</v>
      </c>
      <c r="C662" s="49" t="s">
        <v>645</v>
      </c>
      <c r="D662" s="349">
        <f t="shared" si="58"/>
        <v>58</v>
      </c>
      <c r="E662" s="350" t="s">
        <v>1367</v>
      </c>
      <c r="F662" s="51" t="s">
        <v>156</v>
      </c>
      <c r="G662" s="351" t="s">
        <v>705</v>
      </c>
      <c r="H662" s="351" t="s">
        <v>2700</v>
      </c>
      <c r="I662" s="351" t="s">
        <v>2701</v>
      </c>
      <c r="J662" s="351" t="s">
        <v>4362</v>
      </c>
      <c r="K662" s="354">
        <v>1854</v>
      </c>
      <c r="L662" s="355">
        <v>2279</v>
      </c>
      <c r="M662" s="354">
        <v>3038</v>
      </c>
      <c r="N662" s="355">
        <v>3246</v>
      </c>
      <c r="O662" s="355">
        <v>3233</v>
      </c>
      <c r="P662" s="355">
        <v>3449</v>
      </c>
      <c r="Q662" s="355">
        <v>4081</v>
      </c>
      <c r="R662" s="355">
        <v>4029</v>
      </c>
      <c r="S662" s="355">
        <v>4262</v>
      </c>
      <c r="T662" s="355">
        <v>4150</v>
      </c>
      <c r="U662" s="59">
        <f t="shared" si="59"/>
        <v>1854</v>
      </c>
      <c r="V662" s="59">
        <f t="shared" si="60"/>
        <v>4262</v>
      </c>
      <c r="W662" s="59">
        <f t="shared" si="61"/>
        <v>3362.1</v>
      </c>
      <c r="X662" s="60">
        <f t="shared" si="62"/>
        <v>223.84034519956847</v>
      </c>
      <c r="AC662" s="53"/>
      <c r="AL662" s="65">
        <f>_xlfn.IFERROR(INDEX('Tabela PW'!$T:$T,'Słownik PW'!C662,1),"")</f>
        <v>4150</v>
      </c>
    </row>
    <row r="663" spans="1:38" ht="15">
      <c r="A663" s="4" t="s">
        <v>641</v>
      </c>
      <c r="B663" s="5" t="s">
        <v>687</v>
      </c>
      <c r="C663" s="49" t="s">
        <v>646</v>
      </c>
      <c r="D663" s="349">
        <f t="shared" si="58"/>
        <v>49</v>
      </c>
      <c r="E663" s="350" t="s">
        <v>1368</v>
      </c>
      <c r="F663" s="51" t="s">
        <v>156</v>
      </c>
      <c r="G663" s="351" t="s">
        <v>705</v>
      </c>
      <c r="H663" s="351" t="s">
        <v>2702</v>
      </c>
      <c r="I663" s="351" t="s">
        <v>2703</v>
      </c>
      <c r="J663" s="351" t="s">
        <v>4363</v>
      </c>
      <c r="K663" s="354">
        <v>3560</v>
      </c>
      <c r="L663" s="355">
        <v>3444</v>
      </c>
      <c r="M663" s="354">
        <v>3645</v>
      </c>
      <c r="N663" s="355">
        <v>3645</v>
      </c>
      <c r="O663" s="355">
        <v>5247</v>
      </c>
      <c r="P663" s="355">
        <v>5908</v>
      </c>
      <c r="Q663" s="355">
        <v>7185</v>
      </c>
      <c r="R663" s="355">
        <v>6830</v>
      </c>
      <c r="S663" s="355">
        <v>7255</v>
      </c>
      <c r="T663" s="355">
        <v>7613</v>
      </c>
      <c r="U663" s="59">
        <f t="shared" si="59"/>
        <v>3444</v>
      </c>
      <c r="V663" s="59">
        <f t="shared" si="60"/>
        <v>7613</v>
      </c>
      <c r="W663" s="59">
        <f t="shared" si="61"/>
        <v>5433.2</v>
      </c>
      <c r="X663" s="60">
        <f t="shared" si="62"/>
        <v>213.84831460674158</v>
      </c>
      <c r="AC663" s="53"/>
      <c r="AL663" s="65">
        <f>_xlfn.IFERROR(INDEX('Tabela PW'!$T:$T,'Słownik PW'!C663,1),"")</f>
        <v>7613</v>
      </c>
    </row>
    <row r="664" spans="1:38" ht="15">
      <c r="A664" s="4" t="s">
        <v>641</v>
      </c>
      <c r="B664" s="5" t="s">
        <v>687</v>
      </c>
      <c r="C664" s="49" t="s">
        <v>647</v>
      </c>
      <c r="D664" s="349">
        <f t="shared" si="58"/>
        <v>70</v>
      </c>
      <c r="E664" s="350" t="s">
        <v>1369</v>
      </c>
      <c r="F664" s="51" t="s">
        <v>156</v>
      </c>
      <c r="G664" s="351" t="s">
        <v>705</v>
      </c>
      <c r="H664" s="351" t="s">
        <v>2704</v>
      </c>
      <c r="I664" s="351" t="s">
        <v>2705</v>
      </c>
      <c r="J664" s="351" t="s">
        <v>4364</v>
      </c>
      <c r="K664" s="354">
        <v>19637</v>
      </c>
      <c r="L664" s="355">
        <v>20194</v>
      </c>
      <c r="M664" s="354">
        <v>20535</v>
      </c>
      <c r="N664" s="355">
        <v>20220</v>
      </c>
      <c r="O664" s="355">
        <v>24001</v>
      </c>
      <c r="P664" s="355">
        <v>24659</v>
      </c>
      <c r="Q664" s="355">
        <v>27019</v>
      </c>
      <c r="R664" s="355">
        <v>28443</v>
      </c>
      <c r="S664" s="355">
        <v>31286</v>
      </c>
      <c r="T664" s="355">
        <v>32816</v>
      </c>
      <c r="U664" s="59">
        <f t="shared" si="59"/>
        <v>19637</v>
      </c>
      <c r="V664" s="59">
        <f t="shared" si="60"/>
        <v>32816</v>
      </c>
      <c r="W664" s="59">
        <f t="shared" si="61"/>
        <v>24881</v>
      </c>
      <c r="X664" s="60">
        <f t="shared" si="62"/>
        <v>167.11310281611244</v>
      </c>
      <c r="AC664" s="53"/>
      <c r="AL664" s="65">
        <f>_xlfn.IFERROR(INDEX('Tabela PW'!$T:$T,'Słownik PW'!C664,1),"")</f>
        <v>32816</v>
      </c>
    </row>
    <row r="665" spans="1:38" ht="15">
      <c r="A665" s="4" t="s">
        <v>648</v>
      </c>
      <c r="B665" s="5" t="s">
        <v>688</v>
      </c>
      <c r="C665" s="49" t="s">
        <v>649</v>
      </c>
      <c r="D665" s="349">
        <f t="shared" si="58"/>
        <v>54</v>
      </c>
      <c r="E665" s="350" t="s">
        <v>1370</v>
      </c>
      <c r="F665" s="51" t="s">
        <v>154</v>
      </c>
      <c r="G665" s="351" t="s">
        <v>682</v>
      </c>
      <c r="H665" s="351" t="s">
        <v>2706</v>
      </c>
      <c r="I665" s="351" t="s">
        <v>2707</v>
      </c>
      <c r="J665" s="351" t="s">
        <v>4365</v>
      </c>
      <c r="K665" s="354">
        <v>440</v>
      </c>
      <c r="L665" s="355">
        <v>402</v>
      </c>
      <c r="M665" s="354">
        <v>413</v>
      </c>
      <c r="N665" s="355">
        <v>473</v>
      </c>
      <c r="O665" s="355">
        <v>583</v>
      </c>
      <c r="P665" s="355">
        <v>938</v>
      </c>
      <c r="Q665" s="355">
        <v>2942</v>
      </c>
      <c r="R665" s="355">
        <v>2960</v>
      </c>
      <c r="S665" s="355">
        <v>4621</v>
      </c>
      <c r="T665" s="355">
        <v>5845</v>
      </c>
      <c r="U665" s="59">
        <f t="shared" si="59"/>
        <v>402</v>
      </c>
      <c r="V665" s="59">
        <f t="shared" si="60"/>
        <v>5845</v>
      </c>
      <c r="W665" s="59">
        <f t="shared" si="61"/>
        <v>1961.7</v>
      </c>
      <c r="X665" s="60">
        <f t="shared" si="62"/>
        <v>1328.4090909090908</v>
      </c>
      <c r="AC665" s="53"/>
      <c r="AL665" s="65">
        <f>_xlfn.IFERROR(INDEX('Tabela PW'!$T:$T,'Słownik PW'!C665,1),"")</f>
        <v>5845</v>
      </c>
    </row>
    <row r="666" spans="1:38" ht="15">
      <c r="A666" s="4" t="s">
        <v>650</v>
      </c>
      <c r="B666" s="5" t="s">
        <v>663</v>
      </c>
      <c r="C666" s="49" t="s">
        <v>651</v>
      </c>
      <c r="D666" s="349">
        <f t="shared" si="58"/>
        <v>19</v>
      </c>
      <c r="E666" s="350" t="s">
        <v>1371</v>
      </c>
      <c r="F666" s="51" t="s">
        <v>652</v>
      </c>
      <c r="G666" s="351" t="s">
        <v>670</v>
      </c>
      <c r="H666" s="351" t="s">
        <v>2708</v>
      </c>
      <c r="I666" s="351" t="s">
        <v>2709</v>
      </c>
      <c r="J666" s="351" t="s">
        <v>4366</v>
      </c>
      <c r="K666" s="354">
        <v>157658</v>
      </c>
      <c r="L666" s="355">
        <v>163548</v>
      </c>
      <c r="M666" s="354">
        <v>162139</v>
      </c>
      <c r="N666" s="355">
        <v>164580</v>
      </c>
      <c r="O666" s="355">
        <v>159058</v>
      </c>
      <c r="P666" s="355">
        <v>164944</v>
      </c>
      <c r="Q666" s="355">
        <v>166634</v>
      </c>
      <c r="R666" s="355">
        <v>170465</v>
      </c>
      <c r="S666" s="355">
        <v>170039</v>
      </c>
      <c r="T666" s="355">
        <v>163707</v>
      </c>
      <c r="U666" s="59">
        <f t="shared" si="59"/>
        <v>157658</v>
      </c>
      <c r="V666" s="59">
        <f t="shared" si="60"/>
        <v>170465</v>
      </c>
      <c r="W666" s="59">
        <f t="shared" si="61"/>
        <v>164277.2</v>
      </c>
      <c r="X666" s="60">
        <f t="shared" si="62"/>
        <v>103.83678595440765</v>
      </c>
      <c r="AC666" s="53"/>
      <c r="AL666" s="65">
        <f>_xlfn.IFERROR(INDEX('Tabela PW'!$T:$T,'Słownik PW'!C666,1),"")</f>
        <v>163707</v>
      </c>
    </row>
    <row r="667" spans="1:38" ht="15">
      <c r="A667" s="4" t="s">
        <v>650</v>
      </c>
      <c r="B667" s="5" t="s">
        <v>663</v>
      </c>
      <c r="C667" s="49" t="s">
        <v>653</v>
      </c>
      <c r="D667" s="349">
        <f t="shared" si="58"/>
        <v>42</v>
      </c>
      <c r="E667" s="350" t="s">
        <v>1372</v>
      </c>
      <c r="F667" s="51" t="s">
        <v>652</v>
      </c>
      <c r="G667" s="351" t="s">
        <v>670</v>
      </c>
      <c r="H667" s="351" t="s">
        <v>2710</v>
      </c>
      <c r="I667" s="351" t="s">
        <v>2711</v>
      </c>
      <c r="J667" s="351" t="s">
        <v>4367</v>
      </c>
      <c r="K667" s="354">
        <v>152526</v>
      </c>
      <c r="L667" s="355">
        <v>157582</v>
      </c>
      <c r="M667" s="354">
        <v>154925</v>
      </c>
      <c r="N667" s="355">
        <v>155578</v>
      </c>
      <c r="O667" s="355">
        <v>148642</v>
      </c>
      <c r="P667" s="355">
        <v>151594</v>
      </c>
      <c r="Q667" s="355">
        <v>151300</v>
      </c>
      <c r="R667" s="355">
        <v>152357</v>
      </c>
      <c r="S667" s="355">
        <v>153870</v>
      </c>
      <c r="T667" s="355">
        <v>143490</v>
      </c>
      <c r="U667" s="59">
        <f t="shared" si="59"/>
        <v>143490</v>
      </c>
      <c r="V667" s="59">
        <f t="shared" si="60"/>
        <v>157582</v>
      </c>
      <c r="W667" s="59">
        <f t="shared" si="61"/>
        <v>152186.4</v>
      </c>
      <c r="X667" s="60">
        <f t="shared" si="62"/>
        <v>94.07576413201684</v>
      </c>
      <c r="AC667" s="53"/>
      <c r="AL667" s="65">
        <f>_xlfn.IFERROR(INDEX('Tabela PW'!$T:$T,'Słownik PW'!C667,1),"")</f>
        <v>143490</v>
      </c>
    </row>
    <row r="668" spans="1:38" ht="15">
      <c r="A668" s="4" t="s">
        <v>650</v>
      </c>
      <c r="B668" s="5" t="s">
        <v>663</v>
      </c>
      <c r="C668" s="49" t="s">
        <v>654</v>
      </c>
      <c r="D668" s="349">
        <f t="shared" si="58"/>
        <v>40</v>
      </c>
      <c r="E668" s="350" t="s">
        <v>1373</v>
      </c>
      <c r="F668" s="51" t="s">
        <v>652</v>
      </c>
      <c r="G668" s="351" t="s">
        <v>670</v>
      </c>
      <c r="H668" s="351" t="s">
        <v>2712</v>
      </c>
      <c r="I668" s="351" t="s">
        <v>2713</v>
      </c>
      <c r="J668" s="351" t="s">
        <v>4368</v>
      </c>
      <c r="K668" s="354">
        <v>3488</v>
      </c>
      <c r="L668" s="355">
        <v>2761</v>
      </c>
      <c r="M668" s="354">
        <v>2467</v>
      </c>
      <c r="N668" s="355">
        <v>2997</v>
      </c>
      <c r="O668" s="355">
        <v>2733</v>
      </c>
      <c r="P668" s="355">
        <v>2435</v>
      </c>
      <c r="Q668" s="355">
        <v>2622</v>
      </c>
      <c r="R668" s="355">
        <v>3034</v>
      </c>
      <c r="S668" s="355">
        <v>2375</v>
      </c>
      <c r="T668" s="355">
        <v>2660</v>
      </c>
      <c r="U668" s="59">
        <f t="shared" si="59"/>
        <v>2375</v>
      </c>
      <c r="V668" s="59">
        <f t="shared" si="60"/>
        <v>3488</v>
      </c>
      <c r="W668" s="59">
        <f t="shared" si="61"/>
        <v>2757.2</v>
      </c>
      <c r="X668" s="60">
        <f t="shared" si="62"/>
        <v>76.26146788990825</v>
      </c>
      <c r="AC668" s="53"/>
      <c r="AL668" s="65">
        <f>_xlfn.IFERROR(INDEX('Tabela PW'!$T:$T,'Słownik PW'!C668,1),"")</f>
        <v>2660</v>
      </c>
    </row>
    <row r="669" spans="1:38" ht="15">
      <c r="A669" s="4" t="s">
        <v>650</v>
      </c>
      <c r="B669" s="5" t="s">
        <v>663</v>
      </c>
      <c r="C669" s="49" t="s">
        <v>655</v>
      </c>
      <c r="D669" s="349">
        <f t="shared" si="58"/>
        <v>44</v>
      </c>
      <c r="E669" s="350" t="s">
        <v>1374</v>
      </c>
      <c r="F669" s="51" t="s">
        <v>652</v>
      </c>
      <c r="G669" s="351" t="s">
        <v>670</v>
      </c>
      <c r="H669" s="351" t="s">
        <v>2714</v>
      </c>
      <c r="I669" s="351" t="s">
        <v>2715</v>
      </c>
      <c r="J669" s="351" t="s">
        <v>4369</v>
      </c>
      <c r="K669" s="354">
        <v>1644</v>
      </c>
      <c r="L669" s="355">
        <v>3205</v>
      </c>
      <c r="M669" s="354">
        <v>4747</v>
      </c>
      <c r="N669" s="355">
        <v>6005</v>
      </c>
      <c r="O669" s="355">
        <v>7683</v>
      </c>
      <c r="P669" s="355">
        <v>10915</v>
      </c>
      <c r="Q669" s="355">
        <v>12712</v>
      </c>
      <c r="R669" s="355">
        <v>15074</v>
      </c>
      <c r="S669" s="355">
        <v>13794</v>
      </c>
      <c r="T669" s="355">
        <v>17557</v>
      </c>
      <c r="U669" s="59">
        <f t="shared" si="59"/>
        <v>1644</v>
      </c>
      <c r="V669" s="59">
        <f t="shared" si="60"/>
        <v>17557</v>
      </c>
      <c r="W669" s="59">
        <f t="shared" si="61"/>
        <v>9333.6</v>
      </c>
      <c r="X669" s="60">
        <f t="shared" si="62"/>
        <v>1067.9440389294405</v>
      </c>
      <c r="AC669" s="53"/>
      <c r="AL669" s="65">
        <f>_xlfn.IFERROR(INDEX('Tabela PW'!$T:$T,'Słownik PW'!C669,1),"")</f>
        <v>17557</v>
      </c>
    </row>
    <row r="670" spans="1:38" ht="15">
      <c r="A670" s="4" t="s">
        <v>650</v>
      </c>
      <c r="B670" s="5" t="s">
        <v>663</v>
      </c>
      <c r="C670" s="49" t="s">
        <v>4387</v>
      </c>
      <c r="D670" s="349">
        <f t="shared" si="58"/>
        <v>33</v>
      </c>
      <c r="E670" s="350" t="s">
        <v>1375</v>
      </c>
      <c r="F670" s="51" t="s">
        <v>656</v>
      </c>
      <c r="G670" s="351" t="s">
        <v>700</v>
      </c>
      <c r="H670" s="351" t="s">
        <v>2716</v>
      </c>
      <c r="I670" s="351" t="s">
        <v>2717</v>
      </c>
      <c r="J670" s="351" t="s">
        <v>4370</v>
      </c>
      <c r="K670" s="354">
        <v>559649</v>
      </c>
      <c r="L670" s="355">
        <v>517845</v>
      </c>
      <c r="M670" s="354">
        <v>521437</v>
      </c>
      <c r="N670" s="355">
        <v>518776</v>
      </c>
      <c r="O670" s="355">
        <v>486551</v>
      </c>
      <c r="P670" s="355">
        <v>474604</v>
      </c>
      <c r="Q670" s="355">
        <v>492479</v>
      </c>
      <c r="R670" s="355">
        <v>507335</v>
      </c>
      <c r="S670" s="355">
        <v>493456</v>
      </c>
      <c r="T670" s="355">
        <v>465000</v>
      </c>
      <c r="U670" s="59">
        <f t="shared" si="59"/>
        <v>465000</v>
      </c>
      <c r="V670" s="59">
        <f t="shared" si="60"/>
        <v>559649</v>
      </c>
      <c r="W670" s="59">
        <f t="shared" si="61"/>
        <v>503713.2</v>
      </c>
      <c r="X670" s="60">
        <f t="shared" si="62"/>
        <v>83.08779252710181</v>
      </c>
      <c r="AC670" s="53"/>
      <c r="AL670" s="65">
        <f>_xlfn.IFERROR(INDEX('Tabela PW'!$T:$T,'Słownik PW'!C670,1),"")</f>
        <v>465000</v>
      </c>
    </row>
    <row r="671" spans="11:28" ht="15">
      <c r="K671" s="365"/>
      <c r="L671" s="365"/>
      <c r="M671" s="365"/>
      <c r="N671" s="365"/>
      <c r="O671" s="365"/>
      <c r="P671" s="365"/>
      <c r="Q671" s="365"/>
      <c r="R671" s="365"/>
      <c r="S671" s="365"/>
      <c r="T671" s="365"/>
      <c r="Y671" s="61"/>
      <c r="Z671" s="61"/>
      <c r="AA671" s="61"/>
      <c r="AB671" s="4"/>
    </row>
    <row r="672" spans="17:20" ht="15">
      <c r="Q672" s="367"/>
      <c r="R672" s="367"/>
      <c r="S672" s="367"/>
      <c r="T672" s="367"/>
    </row>
    <row r="673" spans="3:20" ht="15">
      <c r="C673" s="40"/>
      <c r="Q673" s="367"/>
      <c r="R673" s="367"/>
      <c r="S673" s="367"/>
      <c r="T673" s="367"/>
    </row>
    <row r="674" spans="3:20" ht="15">
      <c r="C674" s="40"/>
      <c r="Q674" s="367"/>
      <c r="R674" s="367"/>
      <c r="S674" s="367"/>
      <c r="T674" s="367"/>
    </row>
    <row r="675" spans="3:20" ht="15">
      <c r="C675" s="40"/>
      <c r="Q675" s="367"/>
      <c r="R675" s="367"/>
      <c r="S675" s="367"/>
      <c r="T675" s="367"/>
    </row>
    <row r="676" spans="3:20" ht="15">
      <c r="C676" s="40"/>
      <c r="Q676" s="367"/>
      <c r="R676" s="367"/>
      <c r="S676" s="367"/>
      <c r="T676" s="367"/>
    </row>
    <row r="677" spans="3:20" ht="15">
      <c r="C677" s="40"/>
      <c r="P677" s="367"/>
      <c r="Q677" s="367"/>
      <c r="R677" s="367"/>
      <c r="S677" s="367"/>
      <c r="T677" s="367"/>
    </row>
    <row r="678" spans="3:20" ht="15">
      <c r="C678" s="40"/>
      <c r="P678" s="367"/>
      <c r="Q678" s="367"/>
      <c r="R678" s="367"/>
      <c r="S678" s="367"/>
      <c r="T678" s="367"/>
    </row>
    <row r="679" ht="15">
      <c r="C679" s="40"/>
    </row>
    <row r="680" ht="15">
      <c r="C680" s="40"/>
    </row>
    <row r="681" ht="15">
      <c r="C681" s="40"/>
    </row>
    <row r="682" ht="15">
      <c r="C682" s="40"/>
    </row>
    <row r="683" ht="15">
      <c r="C683" s="40"/>
    </row>
    <row r="684" ht="15">
      <c r="C684" s="40"/>
    </row>
    <row r="685" ht="15">
      <c r="C685" s="40"/>
    </row>
    <row r="686" ht="15">
      <c r="C686" s="40"/>
    </row>
    <row r="687" ht="15">
      <c r="C687" s="40"/>
    </row>
    <row r="688" ht="15">
      <c r="C688" s="40"/>
    </row>
    <row r="689" ht="15">
      <c r="C689" s="40"/>
    </row>
    <row r="690" ht="15">
      <c r="C690" s="40"/>
    </row>
    <row r="691" ht="15">
      <c r="C691" s="40"/>
    </row>
    <row r="692" ht="15">
      <c r="C692" s="40"/>
    </row>
    <row r="693" ht="15">
      <c r="C693" s="40"/>
    </row>
    <row r="694" ht="15">
      <c r="C694" s="40"/>
    </row>
    <row r="695" ht="15">
      <c r="C695" s="40"/>
    </row>
    <row r="696" ht="15">
      <c r="C696" s="40"/>
    </row>
    <row r="697" ht="15">
      <c r="C697" s="40"/>
    </row>
    <row r="698" ht="15">
      <c r="C698" s="40"/>
    </row>
    <row r="699" ht="15">
      <c r="C699" s="40"/>
    </row>
  </sheetData>
  <autoFilter ref="A1:BI670"/>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73"/>
  <sheetViews>
    <sheetView workbookViewId="0" topLeftCell="A1">
      <selection activeCell="A34" sqref="A34"/>
    </sheetView>
  </sheetViews>
  <sheetFormatPr defaultColWidth="9.140625" defaultRowHeight="15"/>
  <cols>
    <col min="1" max="1" width="13.8515625" style="45" customWidth="1"/>
    <col min="2" max="2" width="3.8515625" style="36" customWidth="1"/>
    <col min="3" max="3" width="3.8515625" style="1" customWidth="1"/>
    <col min="4" max="4" width="2.140625" style="6" customWidth="1"/>
    <col min="5" max="5" width="15.421875" style="40" customWidth="1"/>
    <col min="6" max="6" width="3.00390625" style="40" bestFit="1" customWidth="1"/>
    <col min="7" max="7" width="5.421875" style="4" customWidth="1"/>
    <col min="8" max="8" width="6.00390625" style="6" customWidth="1"/>
    <col min="9" max="9" width="3.57421875" style="6" bestFit="1" customWidth="1"/>
    <col min="10" max="10" width="13.140625" style="6" customWidth="1"/>
    <col min="11" max="11" width="6.140625" style="40" customWidth="1"/>
    <col min="12" max="37" width="6.140625" style="6" customWidth="1"/>
    <col min="38" max="38" width="2.00390625" style="6" customWidth="1"/>
    <col min="39" max="39" width="9.140625" style="6" customWidth="1"/>
    <col min="40" max="16384" width="9.140625" style="6" customWidth="1"/>
  </cols>
  <sheetData>
    <row r="1" spans="1:40" ht="22.5" customHeight="1">
      <c r="A1" s="35" t="s">
        <v>4400</v>
      </c>
      <c r="E1" s="346" t="s">
        <v>4398</v>
      </c>
      <c r="F1" s="37"/>
      <c r="G1" s="347" t="s">
        <v>659</v>
      </c>
      <c r="I1" s="6">
        <v>1</v>
      </c>
      <c r="J1" s="38" t="s">
        <v>4399</v>
      </c>
      <c r="K1" s="93" t="s">
        <v>3666</v>
      </c>
      <c r="L1" s="93" t="s">
        <v>3667</v>
      </c>
      <c r="M1" s="93" t="s">
        <v>3665</v>
      </c>
      <c r="N1" s="93" t="s">
        <v>3668</v>
      </c>
      <c r="O1" s="93" t="s">
        <v>3669</v>
      </c>
      <c r="P1" s="93" t="s">
        <v>3670</v>
      </c>
      <c r="Q1" s="93" t="s">
        <v>3671</v>
      </c>
      <c r="R1" s="93" t="s">
        <v>3672</v>
      </c>
      <c r="S1" s="93" t="s">
        <v>3673</v>
      </c>
      <c r="T1" s="93" t="s">
        <v>3674</v>
      </c>
      <c r="U1" s="93" t="s">
        <v>3675</v>
      </c>
      <c r="V1" s="93" t="s">
        <v>3676</v>
      </c>
      <c r="W1" s="93" t="s">
        <v>3677</v>
      </c>
      <c r="X1" s="93" t="s">
        <v>3678</v>
      </c>
      <c r="Y1" s="93" t="s">
        <v>3679</v>
      </c>
      <c r="Z1" s="93" t="s">
        <v>3680</v>
      </c>
      <c r="AA1" s="93" t="s">
        <v>3681</v>
      </c>
      <c r="AB1" s="93" t="s">
        <v>3682</v>
      </c>
      <c r="AC1" s="93" t="s">
        <v>3683</v>
      </c>
      <c r="AD1" s="93" t="s">
        <v>3684</v>
      </c>
      <c r="AE1" s="93" t="s">
        <v>3685</v>
      </c>
      <c r="AF1" s="93" t="s">
        <v>3686</v>
      </c>
      <c r="AG1" s="93" t="s">
        <v>3687</v>
      </c>
      <c r="AH1" s="93" t="s">
        <v>3688</v>
      </c>
      <c r="AI1" s="93" t="s">
        <v>3689</v>
      </c>
      <c r="AJ1" s="93" t="s">
        <v>3690</v>
      </c>
      <c r="AK1" s="93" t="s">
        <v>3691</v>
      </c>
      <c r="AM1" s="94" t="s">
        <v>4532</v>
      </c>
      <c r="AN1" s="94" t="s">
        <v>2732</v>
      </c>
    </row>
    <row r="2" spans="1:40" ht="15">
      <c r="A2" s="39">
        <f>VLOOKUP(A5,'Słownik PW'!E1:G28,3,0)</f>
        <v>25</v>
      </c>
      <c r="B2" s="36">
        <v>1</v>
      </c>
      <c r="C2" s="1">
        <f>MATCH('Produkcja wytworzona - ilość'!$D$30,'Tabela PW'!A:A,0)</f>
        <v>18</v>
      </c>
      <c r="E2" s="40" t="s">
        <v>23</v>
      </c>
      <c r="F2" s="41" t="s">
        <v>661</v>
      </c>
      <c r="G2" s="4">
        <v>6</v>
      </c>
      <c r="H2" s="6" t="s">
        <v>3666</v>
      </c>
      <c r="I2" s="6">
        <v>2</v>
      </c>
      <c r="J2" s="6" t="str">
        <f>IF(INDEX(K:AK,I2,'Słownik PW'!$A$4)=0,"",INDEX(K:AK,I2,'Słownik PW'!$A$4))</f>
        <v>Mineralne środki dla rolnictwa wapniowe i wapniowo-magnezowe (tlenkowe i węglanowe ) - ( t )</v>
      </c>
      <c r="K2" s="40" t="s">
        <v>3700</v>
      </c>
      <c r="L2" s="40" t="s">
        <v>3706</v>
      </c>
      <c r="M2" s="40" t="s">
        <v>3709</v>
      </c>
      <c r="N2" s="40" t="s">
        <v>3716</v>
      </c>
      <c r="O2" s="40" t="s">
        <v>3741</v>
      </c>
      <c r="P2" s="40" t="s">
        <v>3817</v>
      </c>
      <c r="Q2" s="40" t="s">
        <v>3828</v>
      </c>
      <c r="R2" s="40" t="s">
        <v>3830</v>
      </c>
      <c r="S2" s="40" t="s">
        <v>3852</v>
      </c>
      <c r="T2" s="40" t="s">
        <v>3870</v>
      </c>
      <c r="U2" s="40" t="s">
        <v>3878</v>
      </c>
      <c r="V2" s="40" t="s">
        <v>3891</v>
      </c>
      <c r="W2" s="40" t="s">
        <v>3905</v>
      </c>
      <c r="X2" s="40" t="s">
        <v>3916</v>
      </c>
      <c r="Y2" s="40" t="s">
        <v>4034</v>
      </c>
      <c r="Z2" s="40" t="s">
        <v>4037</v>
      </c>
      <c r="AA2" s="40" t="s">
        <v>4067</v>
      </c>
      <c r="AB2" s="40" t="s">
        <v>4123</v>
      </c>
      <c r="AC2" s="40" t="s">
        <v>4155</v>
      </c>
      <c r="AD2" s="40" t="s">
        <v>4189</v>
      </c>
      <c r="AE2" s="40" t="s">
        <v>4205</v>
      </c>
      <c r="AF2" s="40" t="s">
        <v>4256</v>
      </c>
      <c r="AG2" s="40" t="s">
        <v>4339</v>
      </c>
      <c r="AH2" s="40" t="s">
        <v>4350</v>
      </c>
      <c r="AI2" s="40" t="s">
        <v>4359</v>
      </c>
      <c r="AJ2" s="40" t="s">
        <v>4365</v>
      </c>
      <c r="AK2" s="40" t="s">
        <v>4366</v>
      </c>
      <c r="AM2" s="6" t="s">
        <v>4505</v>
      </c>
      <c r="AN2" s="6" t="s">
        <v>4506</v>
      </c>
    </row>
    <row r="3" spans="1:40" ht="15">
      <c r="A3" s="42" t="s">
        <v>3692</v>
      </c>
      <c r="B3" s="36">
        <f aca="true" t="shared" si="0" ref="B3:B51">_xlfn.IFERROR(IF(B2=$A$2-1,"koniec",B2+1),"")</f>
        <v>2</v>
      </c>
      <c r="C3" s="1">
        <f>IF($A$2=1,"",_xlfn.IFERROR(MATCH('Produkcja wytworzona - ilość'!$D$30,'Tabela PW'!A:A,0)+B2,""))</f>
        <v>19</v>
      </c>
      <c r="E3" s="40" t="s">
        <v>28</v>
      </c>
      <c r="F3" s="41" t="s">
        <v>669</v>
      </c>
      <c r="G3" s="4">
        <v>3</v>
      </c>
      <c r="H3" s="6" t="s">
        <v>3667</v>
      </c>
      <c r="I3" s="6">
        <v>3</v>
      </c>
      <c r="J3" s="6" t="str">
        <f>IF(INDEX(K:AK,I3,'Słownik PW'!$A$4)=0,"",INDEX(K:AK,I3,'Słownik PW'!$A$4))</f>
        <v>Kwarcyt - ( t )</v>
      </c>
      <c r="K3" s="40" t="s">
        <v>4555</v>
      </c>
      <c r="L3" s="40" t="s">
        <v>3707</v>
      </c>
      <c r="M3" s="40" t="s">
        <v>3710</v>
      </c>
      <c r="N3" s="40" t="s">
        <v>3717</v>
      </c>
      <c r="O3" s="40" t="s">
        <v>3742</v>
      </c>
      <c r="P3" s="40" t="s">
        <v>3818</v>
      </c>
      <c r="Q3" s="40" t="s">
        <v>3829</v>
      </c>
      <c r="R3" s="40" t="s">
        <v>3831</v>
      </c>
      <c r="S3" s="40" t="s">
        <v>3853</v>
      </c>
      <c r="T3" s="40" t="s">
        <v>3871</v>
      </c>
      <c r="U3" s="40" t="s">
        <v>3879</v>
      </c>
      <c r="V3" s="40" t="s">
        <v>3892</v>
      </c>
      <c r="W3" s="40" t="s">
        <v>3906</v>
      </c>
      <c r="X3" s="40" t="s">
        <v>3917</v>
      </c>
      <c r="Y3" s="40" t="s">
        <v>4035</v>
      </c>
      <c r="Z3" s="40" t="s">
        <v>4038</v>
      </c>
      <c r="AA3" s="40" t="s">
        <v>4068</v>
      </c>
      <c r="AB3" s="40" t="s">
        <v>4124</v>
      </c>
      <c r="AC3" s="40" t="s">
        <v>4156</v>
      </c>
      <c r="AD3" s="40" t="s">
        <v>4191</v>
      </c>
      <c r="AE3" s="40" t="s">
        <v>4206</v>
      </c>
      <c r="AF3" s="40" t="s">
        <v>4257</v>
      </c>
      <c r="AG3" s="40" t="s">
        <v>4340</v>
      </c>
      <c r="AH3" s="40" t="s">
        <v>4351</v>
      </c>
      <c r="AI3" s="40" t="s">
        <v>4360</v>
      </c>
      <c r="AK3" s="40" t="s">
        <v>4367</v>
      </c>
      <c r="AM3" s="6" t="s">
        <v>4502</v>
      </c>
      <c r="AN3" s="6" t="s">
        <v>4503</v>
      </c>
    </row>
    <row r="4" spans="1:40" ht="15">
      <c r="A4" s="43">
        <v>4</v>
      </c>
      <c r="B4" s="36">
        <f t="shared" si="0"/>
        <v>3</v>
      </c>
      <c r="C4" s="1">
        <f>IF($A$2=1,"",_xlfn.IFERROR(MATCH('Produkcja wytworzona - ilość'!$D$30,'Tabela PW'!A:A,0)+B3,""))</f>
        <v>20</v>
      </c>
      <c r="E4" s="40" t="s">
        <v>33</v>
      </c>
      <c r="F4" s="41" t="s">
        <v>665</v>
      </c>
      <c r="G4" s="4">
        <v>7</v>
      </c>
      <c r="H4" s="6" t="s">
        <v>3665</v>
      </c>
      <c r="I4" s="6">
        <v>4</v>
      </c>
      <c r="J4" s="6" t="str">
        <f>IF(INDEX(K:AK,I4,'Słownik PW'!$A$4)=0,"",INDEX(K:AK,I4,'Słownik PW'!$A$4))</f>
        <v>Gips i anhydryt - ( t )</v>
      </c>
      <c r="K4" s="40" t="s">
        <v>3702</v>
      </c>
      <c r="L4" s="40" t="s">
        <v>3708</v>
      </c>
      <c r="M4" s="40" t="s">
        <v>3711</v>
      </c>
      <c r="N4" s="40" t="s">
        <v>3718</v>
      </c>
      <c r="O4" s="40" t="s">
        <v>3743</v>
      </c>
      <c r="P4" s="40" t="s">
        <v>3819</v>
      </c>
      <c r="R4" s="40" t="s">
        <v>3832</v>
      </c>
      <c r="S4" s="40" t="s">
        <v>3854</v>
      </c>
      <c r="T4" s="40" t="s">
        <v>3872</v>
      </c>
      <c r="U4" s="40" t="s">
        <v>3880</v>
      </c>
      <c r="V4" s="40" t="s">
        <v>3893</v>
      </c>
      <c r="W4" s="40" t="s">
        <v>3907</v>
      </c>
      <c r="X4" s="40" t="s">
        <v>3918</v>
      </c>
      <c r="Y4" s="40" t="s">
        <v>4036</v>
      </c>
      <c r="Z4" s="40" t="s">
        <v>4039</v>
      </c>
      <c r="AA4" s="40" t="s">
        <v>4069</v>
      </c>
      <c r="AB4" s="40" t="s">
        <v>4125</v>
      </c>
      <c r="AC4" s="40" t="s">
        <v>4157</v>
      </c>
      <c r="AD4" s="40" t="s">
        <v>4192</v>
      </c>
      <c r="AE4" s="40" t="s">
        <v>4207</v>
      </c>
      <c r="AF4" s="40" t="s">
        <v>4258</v>
      </c>
      <c r="AG4" s="40" t="s">
        <v>4341</v>
      </c>
      <c r="AH4" s="40" t="s">
        <v>4352</v>
      </c>
      <c r="AI4" s="40" t="s">
        <v>4361</v>
      </c>
      <c r="AK4" s="40" t="s">
        <v>4368</v>
      </c>
      <c r="AM4" s="6" t="s">
        <v>4419</v>
      </c>
      <c r="AN4" s="6" t="s">
        <v>4420</v>
      </c>
    </row>
    <row r="5" spans="1:40" ht="12.75">
      <c r="A5" s="44" t="str">
        <f>INDEX('Słownik PW'!E2:E28,'Słownik PW'!A4,1)</f>
        <v>POZOSTAŁE PRODUKTY GÓRNICTWA I WYDOBYWANIA</v>
      </c>
      <c r="B5" s="36">
        <f t="shared" si="0"/>
        <v>4</v>
      </c>
      <c r="C5" s="1">
        <f>IF($A$2=1,"",_xlfn.IFERROR(MATCH('Produkcja wytworzona - ilość'!$D$30,'Tabela PW'!A:A,0)+B4,""))</f>
        <v>21</v>
      </c>
      <c r="E5" s="40" t="s">
        <v>40</v>
      </c>
      <c r="F5" s="41" t="s">
        <v>670</v>
      </c>
      <c r="G5" s="4">
        <v>25</v>
      </c>
      <c r="H5" s="6" t="s">
        <v>3668</v>
      </c>
      <c r="I5" s="6">
        <v>5</v>
      </c>
      <c r="J5" s="6" t="str">
        <f>IF(INDEX(K:AK,I5,'Słownik PW'!$A$4)=0,"",INDEX(K:AK,I5,'Słownik PW'!$A$4))</f>
        <v>Topnik wapniowy, wapień i pozostałe kamienie wapienne w rodzaju stosowanych do produkcji wapna lub cementu - ( t )</v>
      </c>
      <c r="K5" s="40" t="s">
        <v>4556</v>
      </c>
      <c r="M5" s="40" t="s">
        <v>3712</v>
      </c>
      <c r="N5" s="40" t="s">
        <v>3719</v>
      </c>
      <c r="O5" s="40" t="s">
        <v>3744</v>
      </c>
      <c r="P5" s="40" t="s">
        <v>3820</v>
      </c>
      <c r="R5" s="40" t="s">
        <v>3833</v>
      </c>
      <c r="S5" s="40" t="s">
        <v>3855</v>
      </c>
      <c r="T5" s="40" t="s">
        <v>3873</v>
      </c>
      <c r="U5" s="40" t="s">
        <v>3881</v>
      </c>
      <c r="V5" s="40" t="s">
        <v>3894</v>
      </c>
      <c r="W5" s="40" t="s">
        <v>3908</v>
      </c>
      <c r="X5" s="40" t="s">
        <v>3919</v>
      </c>
      <c r="Z5" s="40" t="s">
        <v>4040</v>
      </c>
      <c r="AA5" s="40" t="s">
        <v>4070</v>
      </c>
      <c r="AB5" s="40" t="s">
        <v>4126</v>
      </c>
      <c r="AC5" s="40" t="s">
        <v>4158</v>
      </c>
      <c r="AD5" s="40" t="s">
        <v>4193</v>
      </c>
      <c r="AE5" s="40" t="s">
        <v>4208</v>
      </c>
      <c r="AF5" s="40" t="s">
        <v>4259</v>
      </c>
      <c r="AG5" s="40" t="s">
        <v>4342</v>
      </c>
      <c r="AH5" s="40" t="s">
        <v>4353</v>
      </c>
      <c r="AI5" s="40" t="s">
        <v>4362</v>
      </c>
      <c r="AK5" s="40" t="s">
        <v>4369</v>
      </c>
      <c r="AM5" s="6" t="s">
        <v>4534</v>
      </c>
      <c r="AN5" s="6" t="s">
        <v>4428</v>
      </c>
    </row>
    <row r="6" spans="1:40" ht="15">
      <c r="A6" s="42" t="s">
        <v>3693</v>
      </c>
      <c r="B6" s="36">
        <f t="shared" si="0"/>
        <v>5</v>
      </c>
      <c r="C6" s="1">
        <f>IF($A$2=1,"",_xlfn.IFERROR(MATCH('Produkcja wytworzona - ilość'!$D$30,'Tabela PW'!A:A,0)+B5,""))</f>
        <v>22</v>
      </c>
      <c r="E6" s="40" t="s">
        <v>67</v>
      </c>
      <c r="F6" s="41" t="s">
        <v>671</v>
      </c>
      <c r="G6" s="4">
        <v>76</v>
      </c>
      <c r="H6" s="6" t="s">
        <v>3669</v>
      </c>
      <c r="I6" s="6">
        <v>6</v>
      </c>
      <c r="J6" s="6" t="str">
        <f>IF(INDEX(K:AK,I6,'Słownik PW'!$A$4)=0,"",INDEX(K:AK,I6,'Słownik PW'!$A$4))</f>
        <v>Kreda (łącznie z nawozową ) - ( t )</v>
      </c>
      <c r="K6" s="40" t="s">
        <v>3704</v>
      </c>
      <c r="M6" s="40" t="s">
        <v>3713</v>
      </c>
      <c r="N6" s="40" t="s">
        <v>3720</v>
      </c>
      <c r="O6" s="40" t="s">
        <v>3745</v>
      </c>
      <c r="P6" s="40" t="s">
        <v>3821</v>
      </c>
      <c r="R6" s="40" t="s">
        <v>3834</v>
      </c>
      <c r="S6" s="40" t="s">
        <v>3856</v>
      </c>
      <c r="T6" s="40" t="s">
        <v>3874</v>
      </c>
      <c r="U6" s="40" t="s">
        <v>3882</v>
      </c>
      <c r="V6" s="40" t="s">
        <v>3895</v>
      </c>
      <c r="W6" s="40" t="s">
        <v>3909</v>
      </c>
      <c r="X6" s="40" t="s">
        <v>3920</v>
      </c>
      <c r="Z6" s="40" t="s">
        <v>4041</v>
      </c>
      <c r="AA6" s="40" t="s">
        <v>4071</v>
      </c>
      <c r="AB6" s="40" t="s">
        <v>4127</v>
      </c>
      <c r="AC6" s="40" t="s">
        <v>4159</v>
      </c>
      <c r="AD6" s="40" t="s">
        <v>4194</v>
      </c>
      <c r="AE6" s="40" t="s">
        <v>4209</v>
      </c>
      <c r="AF6" s="40" t="s">
        <v>4260</v>
      </c>
      <c r="AG6" s="40" t="s">
        <v>4343</v>
      </c>
      <c r="AH6" s="40" t="s">
        <v>4354</v>
      </c>
      <c r="AI6" s="40" t="s">
        <v>4363</v>
      </c>
      <c r="AK6" s="40" t="s">
        <v>4370</v>
      </c>
      <c r="AM6" s="6" t="s">
        <v>4415</v>
      </c>
      <c r="AN6" s="6" t="s">
        <v>4416</v>
      </c>
    </row>
    <row r="7" spans="1:40" ht="15">
      <c r="A7" s="43">
        <v>0</v>
      </c>
      <c r="B7" s="36">
        <f t="shared" si="0"/>
        <v>6</v>
      </c>
      <c r="C7" s="1">
        <f>IF($A$2=1,"",_xlfn.IFERROR(MATCH('Produkcja wytworzona - ilość'!$D$30,'Tabela PW'!A:A,0)+B6,""))</f>
        <v>23</v>
      </c>
      <c r="E7" s="40" t="s">
        <v>121</v>
      </c>
      <c r="F7" s="41" t="s">
        <v>672</v>
      </c>
      <c r="G7" s="4">
        <v>11</v>
      </c>
      <c r="H7" s="6" t="s">
        <v>3670</v>
      </c>
      <c r="I7" s="6">
        <v>7</v>
      </c>
      <c r="J7" s="6" t="str">
        <f>IF(INDEX(K:AK,I7,'Słownik PW'!$A$4)=0,"",INDEX(K:AK,I7,'Słownik PW'!$A$4))</f>
        <v>Kreda mielona, nawozowa - ( t )</v>
      </c>
      <c r="K7" s="40" t="s">
        <v>4557</v>
      </c>
      <c r="M7" s="40" t="s">
        <v>3714</v>
      </c>
      <c r="N7" s="40" t="s">
        <v>3721</v>
      </c>
      <c r="O7" s="40" t="s">
        <v>3746</v>
      </c>
      <c r="P7" s="40" t="s">
        <v>3822</v>
      </c>
      <c r="R7" s="40" t="s">
        <v>3835</v>
      </c>
      <c r="S7" s="40" t="s">
        <v>3857</v>
      </c>
      <c r="T7" s="40" t="s">
        <v>3875</v>
      </c>
      <c r="U7" s="40" t="s">
        <v>3883</v>
      </c>
      <c r="V7" s="40" t="s">
        <v>3896</v>
      </c>
      <c r="W7" s="40" t="s">
        <v>3910</v>
      </c>
      <c r="X7" s="40" t="s">
        <v>3921</v>
      </c>
      <c r="Z7" s="40" t="s">
        <v>4042</v>
      </c>
      <c r="AA7" s="40" t="s">
        <v>4072</v>
      </c>
      <c r="AB7" s="40" t="s">
        <v>4128</v>
      </c>
      <c r="AC7" s="40" t="s">
        <v>4160</v>
      </c>
      <c r="AD7" s="40" t="s">
        <v>4195</v>
      </c>
      <c r="AE7" s="40" t="s">
        <v>4210</v>
      </c>
      <c r="AF7" s="40" t="s">
        <v>4261</v>
      </c>
      <c r="AG7" s="40" t="s">
        <v>4344</v>
      </c>
      <c r="AH7" s="40" t="s">
        <v>4355</v>
      </c>
      <c r="AI7" s="40" t="s">
        <v>4364</v>
      </c>
      <c r="AM7" s="6" t="s">
        <v>32</v>
      </c>
      <c r="AN7" s="6" t="s">
        <v>4431</v>
      </c>
    </row>
    <row r="8" spans="1:40" ht="15">
      <c r="A8" s="44" t="str">
        <f>INDEX('Słownik PW'!J2:J119,'Słownik PW'!A7,1)</f>
        <v>Dolomit niekalcynowany ani niespiekany - ( t )</v>
      </c>
      <c r="B8" s="36">
        <f t="shared" si="0"/>
        <v>7</v>
      </c>
      <c r="C8" s="1">
        <f>IF($A$2=1,"",_xlfn.IFERROR(MATCH('Produkcja wytworzona - ilość'!$D$30,'Tabela PW'!A:A,0)+B7,""))</f>
        <v>24</v>
      </c>
      <c r="E8" s="40" t="s">
        <v>133</v>
      </c>
      <c r="F8" s="41" t="s">
        <v>673</v>
      </c>
      <c r="G8" s="4">
        <v>2</v>
      </c>
      <c r="H8" s="6" t="s">
        <v>3671</v>
      </c>
      <c r="I8" s="6">
        <v>8</v>
      </c>
      <c r="J8" s="6" t="str">
        <f>IF(INDEX(K:AK,I8,'Słownik PW'!$A$4)=0,"",INDEX(K:AK,I8,'Słownik PW'!$A$4))</f>
        <v>Dolomit niekalcynowany ani niespiekany - ( t )</v>
      </c>
      <c r="M8" s="40" t="s">
        <v>3715</v>
      </c>
      <c r="N8" s="40" t="s">
        <v>3722</v>
      </c>
      <c r="O8" s="40" t="s">
        <v>3747</v>
      </c>
      <c r="P8" s="40" t="s">
        <v>3823</v>
      </c>
      <c r="R8" s="40" t="s">
        <v>3836</v>
      </c>
      <c r="S8" s="40" t="s">
        <v>3858</v>
      </c>
      <c r="T8" s="40" t="s">
        <v>3876</v>
      </c>
      <c r="U8" s="40" t="s">
        <v>3884</v>
      </c>
      <c r="V8" s="40" t="s">
        <v>3897</v>
      </c>
      <c r="W8" s="40" t="s">
        <v>3911</v>
      </c>
      <c r="X8" s="40" t="s">
        <v>3922</v>
      </c>
      <c r="Z8" s="40" t="s">
        <v>4043</v>
      </c>
      <c r="AA8" s="40" t="s">
        <v>4073</v>
      </c>
      <c r="AB8" s="40" t="s">
        <v>4129</v>
      </c>
      <c r="AC8" s="40" t="s">
        <v>4161</v>
      </c>
      <c r="AD8" s="40" t="s">
        <v>4196</v>
      </c>
      <c r="AE8" s="40" t="s">
        <v>4211</v>
      </c>
      <c r="AF8" s="40" t="s">
        <v>4262</v>
      </c>
      <c r="AG8" s="40" t="s">
        <v>4345</v>
      </c>
      <c r="AH8" s="40" t="s">
        <v>4356</v>
      </c>
      <c r="AM8" s="6" t="s">
        <v>635</v>
      </c>
      <c r="AN8" s="6" t="s">
        <v>4504</v>
      </c>
    </row>
    <row r="9" spans="2:40" ht="15">
      <c r="B9" s="36">
        <f t="shared" si="0"/>
        <v>8</v>
      </c>
      <c r="C9" s="1">
        <f>IF($A$2=1,"",_xlfn.IFERROR(MATCH('Produkcja wytworzona - ilość'!$D$30,'Tabela PW'!A:A,0)+B8,""))</f>
        <v>25</v>
      </c>
      <c r="E9" s="40" t="s">
        <v>137</v>
      </c>
      <c r="F9" s="41" t="s">
        <v>674</v>
      </c>
      <c r="G9" s="4">
        <v>22</v>
      </c>
      <c r="H9" s="6" t="s">
        <v>3672</v>
      </c>
      <c r="I9" s="6">
        <v>9</v>
      </c>
      <c r="J9" s="6" t="str">
        <f>IF(INDEX(K:AK,I9,'Słownik PW'!$A$4)=0,"",INDEX(K:AK,I9,'Słownik PW'!$A$4))</f>
        <v>Piaski krzemionkowe i piaski kwarcowe - ( t )</v>
      </c>
      <c r="M9" s="40"/>
      <c r="N9" s="40" t="s">
        <v>3723</v>
      </c>
      <c r="O9" s="40" t="s">
        <v>3748</v>
      </c>
      <c r="P9" s="40" t="s">
        <v>3824</v>
      </c>
      <c r="R9" s="40" t="s">
        <v>3837</v>
      </c>
      <c r="S9" s="40" t="s">
        <v>3859</v>
      </c>
      <c r="T9" s="40" t="s">
        <v>3877</v>
      </c>
      <c r="U9" s="40" t="s">
        <v>3885</v>
      </c>
      <c r="V9" s="40" t="s">
        <v>3898</v>
      </c>
      <c r="W9" s="40" t="s">
        <v>3912</v>
      </c>
      <c r="X9" s="40" t="s">
        <v>3923</v>
      </c>
      <c r="Z9" s="40" t="s">
        <v>4044</v>
      </c>
      <c r="AA9" s="40" t="s">
        <v>4074</v>
      </c>
      <c r="AB9" s="40" t="s">
        <v>4130</v>
      </c>
      <c r="AC9" s="40" t="s">
        <v>4162</v>
      </c>
      <c r="AD9" s="40" t="s">
        <v>4197</v>
      </c>
      <c r="AE9" s="40" t="s">
        <v>4212</v>
      </c>
      <c r="AF9" s="40" t="s">
        <v>4263</v>
      </c>
      <c r="AG9" s="40" t="s">
        <v>4346</v>
      </c>
      <c r="AH9" s="40" t="s">
        <v>4357</v>
      </c>
      <c r="AM9" s="6" t="s">
        <v>74</v>
      </c>
      <c r="AN9" s="6" t="s">
        <v>4427</v>
      </c>
    </row>
    <row r="10" spans="1:40" ht="15">
      <c r="A10" s="46" t="s">
        <v>3694</v>
      </c>
      <c r="B10" s="36">
        <f t="shared" si="0"/>
        <v>9</v>
      </c>
      <c r="C10" s="1">
        <f>IF($A$2=1,"",_xlfn.IFERROR(MATCH('Produkcja wytworzona - ilość'!$D$30,'Tabela PW'!A:A,0)+B9,""))</f>
        <v>26</v>
      </c>
      <c r="E10" s="40" t="s">
        <v>163</v>
      </c>
      <c r="F10" s="41" t="s">
        <v>675</v>
      </c>
      <c r="G10" s="4">
        <v>18</v>
      </c>
      <c r="H10" s="6" t="s">
        <v>3673</v>
      </c>
      <c r="I10" s="6">
        <v>10</v>
      </c>
      <c r="J10" s="6" t="str">
        <f>IF(INDEX(K:AK,I10,'Słownik PW'!$A$4)=0,"",INDEX(K:AK,I10,'Słownik PW'!$A$4))</f>
        <v>Piasek szklarski - ( t )</v>
      </c>
      <c r="M10" s="40"/>
      <c r="N10" s="40" t="s">
        <v>3724</v>
      </c>
      <c r="O10" s="40" t="s">
        <v>3749</v>
      </c>
      <c r="P10" s="40" t="s">
        <v>3825</v>
      </c>
      <c r="R10" s="40" t="s">
        <v>3838</v>
      </c>
      <c r="S10" s="40" t="s">
        <v>3860</v>
      </c>
      <c r="U10" s="40" t="s">
        <v>3886</v>
      </c>
      <c r="V10" s="40" t="s">
        <v>3899</v>
      </c>
      <c r="W10" s="40" t="s">
        <v>3913</v>
      </c>
      <c r="X10" s="40" t="s">
        <v>3924</v>
      </c>
      <c r="Z10" s="40" t="s">
        <v>4045</v>
      </c>
      <c r="AA10" s="40" t="s">
        <v>4075</v>
      </c>
      <c r="AB10" s="40" t="s">
        <v>4131</v>
      </c>
      <c r="AC10" s="40" t="s">
        <v>4163</v>
      </c>
      <c r="AD10" s="40" t="s">
        <v>4198</v>
      </c>
      <c r="AE10" s="40" t="s">
        <v>4213</v>
      </c>
      <c r="AF10" s="40" t="s">
        <v>4264</v>
      </c>
      <c r="AG10" s="40" t="s">
        <v>4347</v>
      </c>
      <c r="AH10" s="40" t="s">
        <v>4358</v>
      </c>
      <c r="AM10" s="6" t="s">
        <v>4500</v>
      </c>
      <c r="AN10" s="6" t="s">
        <v>4501</v>
      </c>
    </row>
    <row r="11" spans="1:40" ht="15">
      <c r="A11" s="47" t="b">
        <v>1</v>
      </c>
      <c r="B11" s="36">
        <f t="shared" si="0"/>
        <v>10</v>
      </c>
      <c r="C11" s="1">
        <f>IF($A$2=1,"",_xlfn.IFERROR(MATCH('Produkcja wytworzona - ilość'!$D$30,'Tabela PW'!A:A,0)+B10,""))</f>
        <v>27</v>
      </c>
      <c r="E11" s="40" t="s">
        <v>183</v>
      </c>
      <c r="F11" s="41" t="s">
        <v>676</v>
      </c>
      <c r="G11" s="4">
        <v>8</v>
      </c>
      <c r="H11" s="6" t="s">
        <v>3674</v>
      </c>
      <c r="I11" s="6">
        <v>11</v>
      </c>
      <c r="J11" s="6" t="str">
        <f>IF(INDEX(K:AK,I11,'Słownik PW'!$A$4)=0,"",INDEX(K:AK,I11,'Słownik PW'!$A$4))</f>
        <v>Piasek formierski - ( t )</v>
      </c>
      <c r="M11" s="40"/>
      <c r="N11" s="40" t="s">
        <v>3725</v>
      </c>
      <c r="O11" s="40" t="s">
        <v>3750</v>
      </c>
      <c r="P11" s="40" t="s">
        <v>3826</v>
      </c>
      <c r="R11" s="40" t="s">
        <v>4373</v>
      </c>
      <c r="S11" s="40" t="s">
        <v>3861</v>
      </c>
      <c r="U11" s="40" t="s">
        <v>3887</v>
      </c>
      <c r="V11" s="40" t="s">
        <v>3900</v>
      </c>
      <c r="W11" s="40" t="s">
        <v>3914</v>
      </c>
      <c r="X11" s="40" t="s">
        <v>3925</v>
      </c>
      <c r="Z11" s="40" t="s">
        <v>4046</v>
      </c>
      <c r="AA11" s="40" t="s">
        <v>4076</v>
      </c>
      <c r="AB11" s="40" t="s">
        <v>4132</v>
      </c>
      <c r="AC11" s="40" t="s">
        <v>4164</v>
      </c>
      <c r="AD11" s="40" t="s">
        <v>4199</v>
      </c>
      <c r="AE11" s="40" t="s">
        <v>4214</v>
      </c>
      <c r="AF11" s="40" t="s">
        <v>4265</v>
      </c>
      <c r="AG11" s="40" t="s">
        <v>4348</v>
      </c>
      <c r="AM11" s="6" t="s">
        <v>123</v>
      </c>
      <c r="AN11" s="6" t="s">
        <v>4536</v>
      </c>
    </row>
    <row r="12" spans="2:40" ht="15">
      <c r="B12" s="36">
        <f t="shared" si="0"/>
        <v>11</v>
      </c>
      <c r="C12" s="1">
        <f>IF($A$2=1,"",_xlfn.IFERROR(MATCH('Produkcja wytworzona - ilość'!$D$30,'Tabela PW'!A:A,0)+B11,""))</f>
        <v>28</v>
      </c>
      <c r="E12" s="40" t="s">
        <v>191</v>
      </c>
      <c r="F12" s="41" t="s">
        <v>677</v>
      </c>
      <c r="G12" s="4">
        <v>13</v>
      </c>
      <c r="H12" s="6" t="s">
        <v>3675</v>
      </c>
      <c r="I12" s="6">
        <v>12</v>
      </c>
      <c r="J12" s="6" t="str">
        <f>IF(INDEX(K:AK,I12,'Słownik PW'!$A$4)=0,"",INDEX(K:AK,I12,'Słownik PW'!$A$4))</f>
        <v>Żwir, otoczaki, gruby żwir i krzemień w rodzaju stosowanych jako kruszywo do betonu, tłuczeń drogowy - ( t )</v>
      </c>
      <c r="M12" s="40"/>
      <c r="N12" s="40" t="s">
        <v>3726</v>
      </c>
      <c r="O12" s="40" t="s">
        <v>3751</v>
      </c>
      <c r="P12" s="40" t="s">
        <v>3827</v>
      </c>
      <c r="R12" s="40" t="s">
        <v>3840</v>
      </c>
      <c r="S12" s="40" t="s">
        <v>3862</v>
      </c>
      <c r="U12" s="40" t="s">
        <v>3888</v>
      </c>
      <c r="V12" s="40" t="s">
        <v>3901</v>
      </c>
      <c r="W12" s="40" t="s">
        <v>3915</v>
      </c>
      <c r="X12" s="40" t="s">
        <v>3926</v>
      </c>
      <c r="Z12" s="40" t="s">
        <v>4047</v>
      </c>
      <c r="AA12" s="40" t="s">
        <v>4077</v>
      </c>
      <c r="AB12" s="40" t="s">
        <v>4133</v>
      </c>
      <c r="AC12" s="40" t="s">
        <v>4165</v>
      </c>
      <c r="AD12" s="40" t="s">
        <v>4200</v>
      </c>
      <c r="AE12" s="40" t="s">
        <v>4215</v>
      </c>
      <c r="AF12" s="40" t="s">
        <v>4266</v>
      </c>
      <c r="AG12" s="40" t="s">
        <v>4349</v>
      </c>
      <c r="AM12" s="6" t="s">
        <v>111</v>
      </c>
      <c r="AN12" s="6" t="s">
        <v>4499</v>
      </c>
    </row>
    <row r="13" spans="1:40" ht="15">
      <c r="A13" s="48" t="s">
        <v>4401</v>
      </c>
      <c r="B13" s="36">
        <f t="shared" si="0"/>
        <v>12</v>
      </c>
      <c r="C13" s="1">
        <f>IF($A$2=1,"",_xlfn.IFERROR(MATCH('Produkcja wytworzona - ilość'!$D$30,'Tabela PW'!A:A,0)+B12,""))</f>
        <v>29</v>
      </c>
      <c r="E13" s="40" t="s">
        <v>207</v>
      </c>
      <c r="F13" s="41" t="s">
        <v>678</v>
      </c>
      <c r="G13" s="4">
        <v>14</v>
      </c>
      <c r="H13" s="6" t="s">
        <v>3676</v>
      </c>
      <c r="I13" s="6">
        <v>13</v>
      </c>
      <c r="J13" s="6" t="str">
        <f>IF(INDEX(K:AK,I13,'Słownik PW'!$A$4)=0,"",INDEX(K:AK,I13,'Słownik PW'!$A$4))</f>
        <v>Tłuczeń kamienny w rodzaju stosowanego jako kruszywo do betonu, tłuczeń drogowy - ( t )</v>
      </c>
      <c r="M13" s="40"/>
      <c r="N13" s="40" t="s">
        <v>3727</v>
      </c>
      <c r="O13" s="40" t="s">
        <v>3752</v>
      </c>
      <c r="R13" s="40" t="s">
        <v>3841</v>
      </c>
      <c r="S13" s="40" t="s">
        <v>3863</v>
      </c>
      <c r="U13" s="40" t="s">
        <v>3889</v>
      </c>
      <c r="V13" s="40" t="s">
        <v>3902</v>
      </c>
      <c r="X13" s="40" t="s">
        <v>3927</v>
      </c>
      <c r="Z13" s="40" t="s">
        <v>4048</v>
      </c>
      <c r="AA13" s="40" t="s">
        <v>4078</v>
      </c>
      <c r="AB13" s="40" t="s">
        <v>4134</v>
      </c>
      <c r="AC13" s="40" t="s">
        <v>4166</v>
      </c>
      <c r="AD13" s="40" t="s">
        <v>4201</v>
      </c>
      <c r="AE13" s="40" t="s">
        <v>4216</v>
      </c>
      <c r="AF13" s="40" t="s">
        <v>4267</v>
      </c>
      <c r="AM13" s="6" t="s">
        <v>139</v>
      </c>
      <c r="AN13" s="6" t="s">
        <v>4414</v>
      </c>
    </row>
    <row r="14" spans="1:40" ht="15">
      <c r="A14" s="48" t="s">
        <v>4402</v>
      </c>
      <c r="B14" s="36">
        <f t="shared" si="0"/>
        <v>13</v>
      </c>
      <c r="C14" s="1">
        <f>IF($A$2=1,"",_xlfn.IFERROR(MATCH('Produkcja wytworzona - ilość'!$D$30,'Tabela PW'!A:A,0)+B13,""))</f>
        <v>30</v>
      </c>
      <c r="E14" s="40" t="s">
        <v>220</v>
      </c>
      <c r="F14" s="41" t="s">
        <v>679</v>
      </c>
      <c r="G14" s="4">
        <v>11</v>
      </c>
      <c r="H14" s="6" t="s">
        <v>3677</v>
      </c>
      <c r="I14" s="6">
        <v>14</v>
      </c>
      <c r="J14" s="6" t="str">
        <f>IF(INDEX(K:AK,I14,'Słownik PW'!$A$4)=0,"",INDEX(K:AK,I14,'Słownik PW'!$A$4))</f>
        <v>Granulki, odłamki i proszek kamienny (trawertyn, ekausyna, granit, porfir, bazalt, piaskowiec i pozostałe ) - ( t )</v>
      </c>
      <c r="M14" s="40"/>
      <c r="N14" s="40" t="s">
        <v>3728</v>
      </c>
      <c r="O14" s="40" t="s">
        <v>3753</v>
      </c>
      <c r="R14" s="40" t="s">
        <v>3842</v>
      </c>
      <c r="S14" s="40" t="s">
        <v>3864</v>
      </c>
      <c r="U14" s="40" t="s">
        <v>3890</v>
      </c>
      <c r="V14" s="40" t="s">
        <v>3903</v>
      </c>
      <c r="X14" s="40" t="s">
        <v>3928</v>
      </c>
      <c r="Z14" s="40" t="s">
        <v>4049</v>
      </c>
      <c r="AA14" s="40" t="s">
        <v>4079</v>
      </c>
      <c r="AB14" s="40" t="s">
        <v>4135</v>
      </c>
      <c r="AC14" s="40" t="s">
        <v>4167</v>
      </c>
      <c r="AD14" s="40" t="s">
        <v>4202</v>
      </c>
      <c r="AE14" s="40" t="s">
        <v>4217</v>
      </c>
      <c r="AF14" s="40" t="s">
        <v>4268</v>
      </c>
      <c r="AM14" s="6" t="s">
        <v>37</v>
      </c>
      <c r="AN14" s="6" t="s">
        <v>4452</v>
      </c>
    </row>
    <row r="15" spans="1:40" ht="15">
      <c r="A15" s="43">
        <v>2010</v>
      </c>
      <c r="B15" s="36">
        <f t="shared" si="0"/>
        <v>14</v>
      </c>
      <c r="C15" s="1">
        <f>IF($A$2=1,"",_xlfn.IFERROR(MATCH('Produkcja wytworzona - ilość'!$D$30,'Tabela PW'!A:A,0)+B14,""))</f>
        <v>31</v>
      </c>
      <c r="E15" s="40" t="s">
        <v>232</v>
      </c>
      <c r="F15" s="41" t="s">
        <v>680</v>
      </c>
      <c r="G15" s="4">
        <v>117</v>
      </c>
      <c r="H15" s="6" t="s">
        <v>3678</v>
      </c>
      <c r="I15" s="6">
        <v>15</v>
      </c>
      <c r="J15" s="6" t="str">
        <f>IF(INDEX(K:AK,I15,'Słownik PW'!$A$4)=0,"",INDEX(K:AK,I15,'Słownik PW'!$A$4))</f>
        <v>Kaolin i gliny kaolinowe - ( t )</v>
      </c>
      <c r="M15" s="40"/>
      <c r="N15" s="40" t="s">
        <v>3729</v>
      </c>
      <c r="O15" s="40" t="s">
        <v>3754</v>
      </c>
      <c r="R15" s="40" t="s">
        <v>3843</v>
      </c>
      <c r="S15" s="40" t="s">
        <v>3865</v>
      </c>
      <c r="V15" s="40" t="s">
        <v>3904</v>
      </c>
      <c r="X15" s="40" t="s">
        <v>3929</v>
      </c>
      <c r="Z15" s="40" t="s">
        <v>4050</v>
      </c>
      <c r="AA15" s="40" t="s">
        <v>4080</v>
      </c>
      <c r="AB15" s="40" t="s">
        <v>4136</v>
      </c>
      <c r="AC15" s="40" t="s">
        <v>4168</v>
      </c>
      <c r="AD15" s="40" t="s">
        <v>4203</v>
      </c>
      <c r="AE15" s="40" t="s">
        <v>4218</v>
      </c>
      <c r="AF15" s="40" t="s">
        <v>4269</v>
      </c>
      <c r="AM15" s="6" t="s">
        <v>4496</v>
      </c>
      <c r="AN15" s="6" t="s">
        <v>4497</v>
      </c>
    </row>
    <row r="16" spans="1:40" ht="12.75">
      <c r="A16" s="43">
        <v>2011</v>
      </c>
      <c r="B16" s="36">
        <f t="shared" si="0"/>
        <v>15</v>
      </c>
      <c r="C16" s="1">
        <f>IF($A$2=1,"",_xlfn.IFERROR(MATCH('Produkcja wytworzona - ilość'!$D$30,'Tabela PW'!A:A,0)+B15,""))</f>
        <v>32</v>
      </c>
      <c r="E16" s="40" t="s">
        <v>346</v>
      </c>
      <c r="F16" s="41" t="s">
        <v>667</v>
      </c>
      <c r="G16" s="4">
        <v>3</v>
      </c>
      <c r="H16" s="6" t="s">
        <v>3679</v>
      </c>
      <c r="I16" s="6">
        <v>16</v>
      </c>
      <c r="J16" s="6" t="str">
        <f>IF(INDEX(K:AK,I16,'Słownik PW'!$A$4)=0,"",INDEX(K:AK,I16,'Słownik PW'!$A$4))</f>
        <v>Glina ogniotrwała - ( t )</v>
      </c>
      <c r="M16" s="40"/>
      <c r="N16" s="40" t="s">
        <v>3730</v>
      </c>
      <c r="O16" s="40" t="s">
        <v>3755</v>
      </c>
      <c r="R16" s="40" t="s">
        <v>3844</v>
      </c>
      <c r="S16" s="40" t="s">
        <v>3866</v>
      </c>
      <c r="X16" s="40" t="s">
        <v>3930</v>
      </c>
      <c r="Z16" s="40" t="s">
        <v>4051</v>
      </c>
      <c r="AA16" s="40" t="s">
        <v>4081</v>
      </c>
      <c r="AB16" s="40" t="s">
        <v>4137</v>
      </c>
      <c r="AC16" s="40" t="s">
        <v>4169</v>
      </c>
      <c r="AD16" s="40" t="s">
        <v>4204</v>
      </c>
      <c r="AE16" s="40" t="s">
        <v>4219</v>
      </c>
      <c r="AF16" s="40" t="s">
        <v>4270</v>
      </c>
      <c r="AM16" s="6" t="s">
        <v>4533</v>
      </c>
      <c r="AN16" s="6" t="s">
        <v>4453</v>
      </c>
    </row>
    <row r="17" spans="1:40" ht="15">
      <c r="A17" s="43">
        <v>2012</v>
      </c>
      <c r="B17" s="36">
        <f t="shared" si="0"/>
        <v>16</v>
      </c>
      <c r="C17" s="1">
        <f>IF($A$2=1,"",_xlfn.IFERROR(MATCH('Produkcja wytworzona - ilość'!$D$30,'Tabela PW'!A:A,0)+B16,""))</f>
        <v>33</v>
      </c>
      <c r="E17" s="40" t="s">
        <v>350</v>
      </c>
      <c r="F17" s="41" t="s">
        <v>681</v>
      </c>
      <c r="G17" s="4">
        <v>30</v>
      </c>
      <c r="H17" s="6" t="s">
        <v>3680</v>
      </c>
      <c r="I17" s="6">
        <v>17</v>
      </c>
      <c r="J17" s="6" t="str">
        <f>IF(INDEX(K:AK,I17,'Słownik PW'!$A$4)=0,"",INDEX(K:AK,I17,'Słownik PW'!$A$4))</f>
        <v>Glina ogniotrwała surowa - ( t )</v>
      </c>
      <c r="M17" s="40"/>
      <c r="N17" s="40" t="s">
        <v>3731</v>
      </c>
      <c r="O17" s="40" t="s">
        <v>3756</v>
      </c>
      <c r="R17" s="40" t="s">
        <v>3845</v>
      </c>
      <c r="S17" s="40" t="s">
        <v>3867</v>
      </c>
      <c r="X17" s="40" t="s">
        <v>3931</v>
      </c>
      <c r="Z17" s="40" t="s">
        <v>4052</v>
      </c>
      <c r="AA17" s="40" t="s">
        <v>4082</v>
      </c>
      <c r="AB17" s="40" t="s">
        <v>4138</v>
      </c>
      <c r="AC17" s="40" t="s">
        <v>4170</v>
      </c>
      <c r="AE17" s="40" t="s">
        <v>4220</v>
      </c>
      <c r="AF17" s="40" t="s">
        <v>4271</v>
      </c>
      <c r="AM17" s="6" t="s">
        <v>4448</v>
      </c>
      <c r="AN17" s="6" t="s">
        <v>4449</v>
      </c>
    </row>
    <row r="18" spans="1:40" ht="15">
      <c r="A18" s="43">
        <v>2013</v>
      </c>
      <c r="B18" s="36">
        <f t="shared" si="0"/>
        <v>17</v>
      </c>
      <c r="C18" s="1">
        <f>IF($A$2=1,"",_xlfn.IFERROR(MATCH('Produkcja wytworzona - ilość'!$D$30,'Tabela PW'!A:A,0)+B17,""))</f>
        <v>34</v>
      </c>
      <c r="E18" s="40" t="s">
        <v>376</v>
      </c>
      <c r="F18" s="41" t="s">
        <v>682</v>
      </c>
      <c r="G18" s="4">
        <v>56</v>
      </c>
      <c r="H18" s="6" t="s">
        <v>3681</v>
      </c>
      <c r="I18" s="6">
        <v>18</v>
      </c>
      <c r="J18" s="6" t="str">
        <f>IF(INDEX(K:AK,I18,'Słownik PW'!$A$4)=0,"",INDEX(K:AK,I18,'Słownik PW'!$A$4))</f>
        <v>Łupki i gliny pospolite, do celów budowlanych, z wyłączeniem bentonitu, gliny ogniotrwałej, iłów porowatych - ( t )</v>
      </c>
      <c r="M18" s="40"/>
      <c r="N18" s="40" t="s">
        <v>3732</v>
      </c>
      <c r="O18" s="40" t="s">
        <v>3757</v>
      </c>
      <c r="R18" s="40" t="s">
        <v>3846</v>
      </c>
      <c r="S18" s="40" t="s">
        <v>3868</v>
      </c>
      <c r="X18" s="40" t="s">
        <v>3932</v>
      </c>
      <c r="Z18" s="40" t="s">
        <v>4053</v>
      </c>
      <c r="AA18" s="40" t="s">
        <v>4083</v>
      </c>
      <c r="AB18" s="40" t="s">
        <v>4139</v>
      </c>
      <c r="AC18" s="40" t="s">
        <v>4171</v>
      </c>
      <c r="AE18" s="40" t="s">
        <v>4221</v>
      </c>
      <c r="AF18" s="40" t="s">
        <v>4272</v>
      </c>
      <c r="AM18" s="6" t="s">
        <v>4515</v>
      </c>
      <c r="AN18" s="6" t="s">
        <v>4456</v>
      </c>
    </row>
    <row r="19" spans="1:40" ht="15">
      <c r="A19" s="43">
        <v>2014</v>
      </c>
      <c r="B19" s="36">
        <f t="shared" si="0"/>
        <v>18</v>
      </c>
      <c r="C19" s="1">
        <f>IF($A$2=1,"",_xlfn.IFERROR(MATCH('Produkcja wytworzona - ilość'!$D$30,'Tabela PW'!A:A,0)+B18,""))</f>
        <v>35</v>
      </c>
      <c r="E19" s="40" t="s">
        <v>433</v>
      </c>
      <c r="F19" s="41" t="s">
        <v>683</v>
      </c>
      <c r="G19" s="4">
        <v>32</v>
      </c>
      <c r="H19" s="6" t="s">
        <v>3682</v>
      </c>
      <c r="I19" s="6">
        <v>19</v>
      </c>
      <c r="J19" s="6" t="str">
        <f>IF(INDEX(K:AK,I19,'Słownik PW'!$A$4)=0,"",INDEX(K:AK,I19,'Słownik PW'!$A$4))</f>
        <v>Siarka rodzima z wydobycia - ( t )</v>
      </c>
      <c r="M19" s="40"/>
      <c r="N19" s="40" t="s">
        <v>3733</v>
      </c>
      <c r="O19" s="40" t="s">
        <v>3758</v>
      </c>
      <c r="R19" s="40" t="s">
        <v>3847</v>
      </c>
      <c r="S19" s="40" t="s">
        <v>3869</v>
      </c>
      <c r="X19" s="40" t="s">
        <v>3933</v>
      </c>
      <c r="Z19" s="40" t="s">
        <v>4054</v>
      </c>
      <c r="AA19" s="40" t="s">
        <v>4084</v>
      </c>
      <c r="AB19" s="40" t="s">
        <v>4140</v>
      </c>
      <c r="AC19" s="40" t="s">
        <v>4172</v>
      </c>
      <c r="AE19" s="40" t="s">
        <v>4222</v>
      </c>
      <c r="AF19" s="40" t="s">
        <v>4273</v>
      </c>
      <c r="AM19" s="6" t="s">
        <v>4454</v>
      </c>
      <c r="AN19" s="6" t="s">
        <v>4455</v>
      </c>
    </row>
    <row r="20" spans="1:40" ht="15">
      <c r="A20" s="43">
        <v>2015</v>
      </c>
      <c r="B20" s="36">
        <f t="shared" si="0"/>
        <v>19</v>
      </c>
      <c r="C20" s="1">
        <f>IF($A$2=1,"",_xlfn.IFERROR(MATCH('Produkcja wytworzona - ilość'!$D$30,'Tabela PW'!A:A,0)+B19,""))</f>
        <v>36</v>
      </c>
      <c r="E20" s="40" t="s">
        <v>464</v>
      </c>
      <c r="F20" s="41" t="s">
        <v>684</v>
      </c>
      <c r="G20" s="4">
        <v>34</v>
      </c>
      <c r="H20" s="6" t="s">
        <v>3683</v>
      </c>
      <c r="I20" s="6">
        <v>20</v>
      </c>
      <c r="J20" s="6" t="str">
        <f>IF(INDEX(K:AK,I20,'Słownik PW'!$A$4)=0,"",INDEX(K:AK,I20,'Słownik PW'!$A$4))</f>
        <v>Siarka rodzima z wydobycia - ( t S )</v>
      </c>
      <c r="M20" s="40"/>
      <c r="N20" s="40" t="s">
        <v>3734</v>
      </c>
      <c r="O20" s="40" t="s">
        <v>3759</v>
      </c>
      <c r="R20" s="40" t="s">
        <v>3848</v>
      </c>
      <c r="X20" s="40" t="s">
        <v>3934</v>
      </c>
      <c r="Z20" s="40" t="s">
        <v>4055</v>
      </c>
      <c r="AA20" s="40" t="s">
        <v>4085</v>
      </c>
      <c r="AB20" s="40" t="s">
        <v>4141</v>
      </c>
      <c r="AC20" s="40" t="s">
        <v>4173</v>
      </c>
      <c r="AE20" s="40" t="s">
        <v>4223</v>
      </c>
      <c r="AF20" s="40" t="s">
        <v>4274</v>
      </c>
      <c r="AM20" s="6" t="s">
        <v>4516</v>
      </c>
      <c r="AN20" s="6" t="s">
        <v>4457</v>
      </c>
    </row>
    <row r="21" spans="1:40" ht="15">
      <c r="A21" s="43">
        <v>2016</v>
      </c>
      <c r="B21" s="36">
        <f t="shared" si="0"/>
        <v>20</v>
      </c>
      <c r="C21" s="1">
        <f>IF($A$2=1,"",_xlfn.IFERROR(MATCH('Produkcja wytworzona - ilość'!$D$30,'Tabela PW'!A:A,0)+B20,""))</f>
        <v>37</v>
      </c>
      <c r="E21" s="40" t="s">
        <v>496</v>
      </c>
      <c r="F21" s="41" t="s">
        <v>662</v>
      </c>
      <c r="G21" s="4">
        <v>15</v>
      </c>
      <c r="H21" s="6" t="s">
        <v>3684</v>
      </c>
      <c r="I21" s="6">
        <v>21</v>
      </c>
      <c r="J21" s="6" t="str">
        <f>IF(INDEX(K:AK,I21,'Słownik PW'!$A$4)=0,"",INDEX(K:AK,I21,'Słownik PW'!$A$4))</f>
        <v>Torf z wyłączeniem brykietów i podobnych paliw stałych - ( t )</v>
      </c>
      <c r="M21" s="40"/>
      <c r="N21" s="40" t="s">
        <v>3735</v>
      </c>
      <c r="O21" s="40" t="s">
        <v>3760</v>
      </c>
      <c r="R21" s="40" t="s">
        <v>3849</v>
      </c>
      <c r="X21" s="40" t="s">
        <v>3935</v>
      </c>
      <c r="Z21" s="40" t="s">
        <v>4056</v>
      </c>
      <c r="AA21" s="40" t="s">
        <v>4086</v>
      </c>
      <c r="AB21" s="40" t="s">
        <v>4142</v>
      </c>
      <c r="AC21" s="40" t="s">
        <v>4174</v>
      </c>
      <c r="AE21" s="40" t="s">
        <v>4224</v>
      </c>
      <c r="AF21" s="40" t="s">
        <v>4275</v>
      </c>
      <c r="AM21" s="6" t="s">
        <v>361</v>
      </c>
      <c r="AN21" s="6" t="s">
        <v>4423</v>
      </c>
    </row>
    <row r="22" spans="1:40" ht="15">
      <c r="A22" s="43">
        <v>2017</v>
      </c>
      <c r="B22" s="36">
        <f t="shared" si="0"/>
        <v>21</v>
      </c>
      <c r="C22" s="1">
        <f>IF($A$2=1,"",_xlfn.IFERROR(MATCH('Produkcja wytworzona - ilość'!$D$30,'Tabela PW'!A:A,0)+B21,""))</f>
        <v>38</v>
      </c>
      <c r="E22" s="40" t="s">
        <v>511</v>
      </c>
      <c r="F22" s="41" t="s">
        <v>666</v>
      </c>
      <c r="G22" s="4">
        <v>51</v>
      </c>
      <c r="H22" s="6" t="s">
        <v>3685</v>
      </c>
      <c r="I22" s="6">
        <v>22</v>
      </c>
      <c r="J22" s="6" t="str">
        <f>IF(INDEX(K:AK,I22,'Słownik PW'!$A$4)=0,"",INDEX(K:AK,I22,'Słownik PW'!$A$4))</f>
        <v>Sól ogółem (z wyłączeniem soli do spożycia ) - ( t )</v>
      </c>
      <c r="M22" s="40"/>
      <c r="N22" s="40" t="s">
        <v>3736</v>
      </c>
      <c r="O22" s="40" t="s">
        <v>3761</v>
      </c>
      <c r="R22" s="40" t="s">
        <v>3850</v>
      </c>
      <c r="X22" s="40" t="s">
        <v>3936</v>
      </c>
      <c r="Z22" s="40" t="s">
        <v>4057</v>
      </c>
      <c r="AA22" s="40" t="s">
        <v>4087</v>
      </c>
      <c r="AB22" s="40" t="s">
        <v>4143</v>
      </c>
      <c r="AC22" s="40" t="s">
        <v>4175</v>
      </c>
      <c r="AE22" s="40" t="s">
        <v>4225</v>
      </c>
      <c r="AF22" s="40" t="s">
        <v>4276</v>
      </c>
      <c r="AM22" s="6" t="s">
        <v>4434</v>
      </c>
      <c r="AN22" s="6" t="s">
        <v>4435</v>
      </c>
    </row>
    <row r="23" spans="1:40" ht="15">
      <c r="A23" s="43">
        <v>2018</v>
      </c>
      <c r="B23" s="36">
        <f t="shared" si="0"/>
        <v>22</v>
      </c>
      <c r="C23" s="1">
        <f>IF($A$2=1,"",_xlfn.IFERROR(MATCH('Produkcja wytworzona - ilość'!$D$30,'Tabela PW'!A:A,0)+B22,""))</f>
        <v>39</v>
      </c>
      <c r="E23" s="40" t="s">
        <v>552</v>
      </c>
      <c r="F23" s="41" t="s">
        <v>668</v>
      </c>
      <c r="G23" s="4">
        <v>83</v>
      </c>
      <c r="H23" s="6" t="s">
        <v>3686</v>
      </c>
      <c r="I23" s="6">
        <v>23</v>
      </c>
      <c r="J23" s="6" t="str">
        <f>IF(INDEX(K:AK,I23,'Słownik PW'!$A$4)=0,"",INDEX(K:AK,I23,'Słownik PW'!$A$4))</f>
        <v>Sól kamienna (z wyłączeniem soli do spożycia ) - ( t )</v>
      </c>
      <c r="M23" s="40"/>
      <c r="N23" s="40" t="s">
        <v>3737</v>
      </c>
      <c r="O23" s="40" t="s">
        <v>3762</v>
      </c>
      <c r="R23" s="40" t="s">
        <v>3851</v>
      </c>
      <c r="X23" s="40" t="s">
        <v>3937</v>
      </c>
      <c r="Z23" s="40" t="s">
        <v>4058</v>
      </c>
      <c r="AA23" s="40" t="s">
        <v>4088</v>
      </c>
      <c r="AB23" s="40" t="s">
        <v>4144</v>
      </c>
      <c r="AC23" s="40" t="s">
        <v>4176</v>
      </c>
      <c r="AE23" s="40" t="s">
        <v>4226</v>
      </c>
      <c r="AF23" s="40" t="s">
        <v>4277</v>
      </c>
      <c r="AM23" s="6" t="s">
        <v>516</v>
      </c>
      <c r="AN23" s="6" t="s">
        <v>4432</v>
      </c>
    </row>
    <row r="24" spans="1:40" ht="15">
      <c r="A24" s="43">
        <v>2019</v>
      </c>
      <c r="B24" s="36">
        <f t="shared" si="0"/>
        <v>23</v>
      </c>
      <c r="C24" s="1">
        <f>IF($A$2=1,"",_xlfn.IFERROR(MATCH('Produkcja wytworzona - ilość'!$D$30,'Tabela PW'!A:A,0)+B23,""))</f>
        <v>40</v>
      </c>
      <c r="E24" s="40" t="s">
        <v>622</v>
      </c>
      <c r="F24" s="41" t="s">
        <v>685</v>
      </c>
      <c r="G24" s="4">
        <v>11</v>
      </c>
      <c r="H24" s="6" t="s">
        <v>3687</v>
      </c>
      <c r="I24" s="6">
        <v>24</v>
      </c>
      <c r="J24" s="6" t="str">
        <f>IF(INDEX(K:AK,I24,'Słownik PW'!$A$4)=0,"",INDEX(K:AK,I24,'Słownik PW'!$A$4))</f>
        <v>Sól warzona (z wyłączeniem soli do spożycia ) - ( t )</v>
      </c>
      <c r="M24" s="40"/>
      <c r="N24" s="40" t="s">
        <v>3738</v>
      </c>
      <c r="O24" s="40" t="s">
        <v>3763</v>
      </c>
      <c r="X24" s="40" t="s">
        <v>3938</v>
      </c>
      <c r="Z24" s="40" t="s">
        <v>4059</v>
      </c>
      <c r="AA24" s="40" t="s">
        <v>4089</v>
      </c>
      <c r="AB24" s="40" t="s">
        <v>4145</v>
      </c>
      <c r="AC24" s="40" t="s">
        <v>4177</v>
      </c>
      <c r="AE24" s="40" t="s">
        <v>4227</v>
      </c>
      <c r="AF24" s="40" t="s">
        <v>4278</v>
      </c>
      <c r="AM24" s="6" t="s">
        <v>4429</v>
      </c>
      <c r="AN24" s="6" t="s">
        <v>4430</v>
      </c>
    </row>
    <row r="25" spans="1:40" ht="15">
      <c r="A25" s="341">
        <v>10</v>
      </c>
      <c r="B25" s="36">
        <f t="shared" si="0"/>
        <v>24</v>
      </c>
      <c r="C25" s="1">
        <f>IF($A$2=1,"",_xlfn.IFERROR(MATCH('Produkcja wytworzona - ilość'!$D$30,'Tabela PW'!A:A,0)+B24,""))</f>
        <v>41</v>
      </c>
      <c r="E25" s="40" t="s">
        <v>633</v>
      </c>
      <c r="F25" s="41" t="s">
        <v>686</v>
      </c>
      <c r="G25" s="4">
        <v>9</v>
      </c>
      <c r="H25" s="6" t="s">
        <v>3688</v>
      </c>
      <c r="I25" s="6">
        <v>25</v>
      </c>
      <c r="J25" s="6" t="str">
        <f>IF(INDEX(K:AK,I25,'Słownik PW'!$A$4)=0,"",INDEX(K:AK,I25,'Słownik PW'!$A$4))</f>
        <v>Sól w solance - ( t NaCl )</v>
      </c>
      <c r="M25" s="40"/>
      <c r="N25" s="40" t="s">
        <v>3739</v>
      </c>
      <c r="O25" s="40" t="s">
        <v>3764</v>
      </c>
      <c r="X25" s="40" t="s">
        <v>3939</v>
      </c>
      <c r="Z25" s="40" t="s">
        <v>4060</v>
      </c>
      <c r="AA25" s="40" t="s">
        <v>4090</v>
      </c>
      <c r="AB25" s="40" t="s">
        <v>4146</v>
      </c>
      <c r="AC25" s="40" t="s">
        <v>4178</v>
      </c>
      <c r="AE25" s="40" t="s">
        <v>4228</v>
      </c>
      <c r="AF25" s="40" t="s">
        <v>4279</v>
      </c>
      <c r="AM25" s="6" t="s">
        <v>4421</v>
      </c>
      <c r="AN25" s="6" t="s">
        <v>4422</v>
      </c>
    </row>
    <row r="26" spans="1:40" ht="15">
      <c r="A26" s="341">
        <f>'Słownik PW'!A25+2009</f>
        <v>2019</v>
      </c>
      <c r="B26" s="36" t="str">
        <f t="shared" si="0"/>
        <v>koniec</v>
      </c>
      <c r="C26" s="1">
        <f>IF($A$2=1,"",_xlfn.IFERROR(MATCH('Produkcja wytworzona - ilość'!$D$30,'Tabela PW'!A:A,0)+B25,""))</f>
        <v>42</v>
      </c>
      <c r="E26" s="40" t="s">
        <v>641</v>
      </c>
      <c r="F26" s="41" t="s">
        <v>687</v>
      </c>
      <c r="G26" s="4">
        <v>6</v>
      </c>
      <c r="H26" s="6" t="s">
        <v>3689</v>
      </c>
      <c r="I26" s="6">
        <v>26</v>
      </c>
      <c r="J26" s="6" t="str">
        <f>IF(INDEX(K:AK,I26,'Słownik PW'!$A$4)=0,"",INDEX(K:AK,I26,'Słownik PW'!$A$4))</f>
        <v>Kwarc, z wyłączeniem piasku naturalnego - ( t )</v>
      </c>
      <c r="M26" s="40"/>
      <c r="N26" s="40" t="s">
        <v>3740</v>
      </c>
      <c r="O26" s="40" t="s">
        <v>3765</v>
      </c>
      <c r="X26" s="40" t="s">
        <v>3940</v>
      </c>
      <c r="Z26" s="40" t="s">
        <v>4061</v>
      </c>
      <c r="AA26" s="40" t="s">
        <v>4091</v>
      </c>
      <c r="AB26" s="40" t="s">
        <v>4147</v>
      </c>
      <c r="AC26" s="40" t="s">
        <v>4179</v>
      </c>
      <c r="AE26" s="40" t="s">
        <v>4229</v>
      </c>
      <c r="AF26" s="40" t="s">
        <v>4280</v>
      </c>
      <c r="AM26" s="6" t="s">
        <v>4510</v>
      </c>
      <c r="AN26" s="6" t="s">
        <v>4424</v>
      </c>
    </row>
    <row r="27" spans="1:40" ht="15">
      <c r="A27" s="43"/>
      <c r="B27" s="36" t="str">
        <f t="shared" si="0"/>
        <v/>
      </c>
      <c r="C27" s="1" t="str">
        <f>IF($A$2=1,"",_xlfn.IFERROR(MATCH('Produkcja wytworzona - ilość'!$D$30,'Tabela PW'!A:A,0)+B26,""))</f>
        <v/>
      </c>
      <c r="E27" s="40" t="s">
        <v>648</v>
      </c>
      <c r="F27" s="41" t="s">
        <v>688</v>
      </c>
      <c r="G27" s="4">
        <v>1</v>
      </c>
      <c r="H27" s="6" t="s">
        <v>3690</v>
      </c>
      <c r="I27" s="6">
        <v>27</v>
      </c>
      <c r="J27" s="6" t="str">
        <f>IF(INDEX(K:AK,I27,'Słownik PW'!$A$4)=0,"",INDEX(K:AK,I27,'Słownik PW'!$A$4))</f>
        <v/>
      </c>
      <c r="M27" s="40"/>
      <c r="N27" s="41"/>
      <c r="O27" s="40" t="s">
        <v>3766</v>
      </c>
      <c r="X27" s="40" t="s">
        <v>3941</v>
      </c>
      <c r="Z27" s="40" t="s">
        <v>4062</v>
      </c>
      <c r="AA27" s="40" t="s">
        <v>4092</v>
      </c>
      <c r="AB27" s="40" t="s">
        <v>4148</v>
      </c>
      <c r="AC27" s="40" t="s">
        <v>4180</v>
      </c>
      <c r="AE27" s="40" t="s">
        <v>4230</v>
      </c>
      <c r="AF27" s="40" t="s">
        <v>4281</v>
      </c>
      <c r="AM27" s="6" t="s">
        <v>4512</v>
      </c>
      <c r="AN27" s="6" t="s">
        <v>4426</v>
      </c>
    </row>
    <row r="28" spans="1:40" ht="15">
      <c r="A28" s="93" t="s">
        <v>4558</v>
      </c>
      <c r="B28" s="36" t="str">
        <f t="shared" si="0"/>
        <v/>
      </c>
      <c r="C28" s="1" t="str">
        <f>IF($A$2=1,"",_xlfn.IFERROR(MATCH('Produkcja wytworzona - ilość'!$D$30,'Tabela PW'!A:A,0)+B27,""))</f>
        <v/>
      </c>
      <c r="E28" s="40" t="s">
        <v>650</v>
      </c>
      <c r="F28" s="41" t="s">
        <v>663</v>
      </c>
      <c r="G28" s="4">
        <v>5</v>
      </c>
      <c r="H28" s="6" t="s">
        <v>3691</v>
      </c>
      <c r="I28" s="6">
        <v>28</v>
      </c>
      <c r="J28" s="6" t="str">
        <f>IF(INDEX(K:AK,I28,'Słownik PW'!$A$4)=0,"",INDEX(K:AK,I28,'Słownik PW'!$A$4))</f>
        <v/>
      </c>
      <c r="M28" s="40"/>
      <c r="N28" s="41"/>
      <c r="O28" s="40" t="s">
        <v>3767</v>
      </c>
      <c r="X28" s="40" t="s">
        <v>3942</v>
      </c>
      <c r="Z28" s="40" t="s">
        <v>4063</v>
      </c>
      <c r="AA28" s="40" t="s">
        <v>4093</v>
      </c>
      <c r="AB28" s="40" t="s">
        <v>4149</v>
      </c>
      <c r="AC28" s="40" t="s">
        <v>4181</v>
      </c>
      <c r="AE28" s="40" t="s">
        <v>4231</v>
      </c>
      <c r="AF28" s="40" t="s">
        <v>4282</v>
      </c>
      <c r="AM28" s="6" t="s">
        <v>136</v>
      </c>
      <c r="AN28" s="6" t="s">
        <v>4440</v>
      </c>
    </row>
    <row r="29" spans="1:40" ht="15">
      <c r="A29" s="43">
        <v>16</v>
      </c>
      <c r="B29" s="36" t="str">
        <f t="shared" si="0"/>
        <v/>
      </c>
      <c r="C29" s="1" t="str">
        <f>IF($A$2=1,"",_xlfn.IFERROR(MATCH('Produkcja wytworzona - ilość'!$D$30,'Tabela PW'!A:A,0)+B28,""))</f>
        <v/>
      </c>
      <c r="E29" s="6"/>
      <c r="F29" s="6"/>
      <c r="I29" s="6">
        <v>29</v>
      </c>
      <c r="J29" s="6" t="str">
        <f>IF(INDEX(K:AK,I29,'Słownik PW'!$A$4)=0,"",INDEX(K:AK,I29,'Słownik PW'!$A$4))</f>
        <v/>
      </c>
      <c r="O29" s="40" t="s">
        <v>3768</v>
      </c>
      <c r="X29" s="40" t="s">
        <v>3943</v>
      </c>
      <c r="Z29" s="40" t="s">
        <v>4064</v>
      </c>
      <c r="AA29" s="40" t="s">
        <v>4094</v>
      </c>
      <c r="AB29" s="40" t="s">
        <v>4150</v>
      </c>
      <c r="AC29" s="40" t="s">
        <v>4182</v>
      </c>
      <c r="AE29" s="40" t="s">
        <v>4232</v>
      </c>
      <c r="AF29" s="40" t="s">
        <v>4283</v>
      </c>
      <c r="AM29" s="6" t="s">
        <v>521</v>
      </c>
      <c r="AN29" s="6" t="s">
        <v>4436</v>
      </c>
    </row>
    <row r="30" spans="1:40" ht="12" thickBot="1">
      <c r="A30" s="106">
        <v>32</v>
      </c>
      <c r="B30" s="36" t="str">
        <f t="shared" si="0"/>
        <v/>
      </c>
      <c r="C30" s="1" t="str">
        <f>IF($A$2=1,"",_xlfn.IFERROR(MATCH('Produkcja wytworzona - ilość'!$D$30,'Tabela PW'!A:A,0)+B29,""))</f>
        <v/>
      </c>
      <c r="F30" s="6"/>
      <c r="I30" s="6">
        <v>30</v>
      </c>
      <c r="J30" s="6" t="str">
        <f>IF(INDEX(K:AK,I30,'Słownik PW'!$A$4)=0,"",INDEX(K:AK,I30,'Słownik PW'!$A$4))</f>
        <v/>
      </c>
      <c r="O30" s="40" t="s">
        <v>3769</v>
      </c>
      <c r="X30" s="40" t="s">
        <v>3944</v>
      </c>
      <c r="Z30" s="40" t="s">
        <v>4065</v>
      </c>
      <c r="AA30" s="40" t="s">
        <v>4095</v>
      </c>
      <c r="AB30" s="40" t="s">
        <v>4151</v>
      </c>
      <c r="AC30" s="40" t="s">
        <v>4183</v>
      </c>
      <c r="AE30" s="40" t="s">
        <v>4233</v>
      </c>
      <c r="AF30" s="40" t="s">
        <v>4284</v>
      </c>
      <c r="AM30" s="6" t="s">
        <v>513</v>
      </c>
      <c r="AN30" s="6" t="s">
        <v>4433</v>
      </c>
    </row>
    <row r="31" spans="1:40" ht="15">
      <c r="A31" s="102">
        <f>MATCH('Produkcja wytworzona - ilość'!F31,'Słownik PW'!AM1:AM76)</f>
        <v>32</v>
      </c>
      <c r="B31" s="36" t="str">
        <f t="shared" si="0"/>
        <v/>
      </c>
      <c r="C31" s="1" t="str">
        <f>IF($A$2=1,"",_xlfn.IFERROR(MATCH('Produkcja wytworzona - ilość'!$D$30,'Tabela PW'!A:A,0)+B30,""))</f>
        <v/>
      </c>
      <c r="F31" s="6"/>
      <c r="I31" s="6">
        <v>31</v>
      </c>
      <c r="J31" s="6" t="str">
        <f>IF(INDEX(K:AK,I31,'Słownik PW'!$A$4)=0,"",INDEX(K:AK,I31,'Słownik PW'!$A$4))</f>
        <v/>
      </c>
      <c r="O31" s="40" t="s">
        <v>3770</v>
      </c>
      <c r="X31" s="40" t="s">
        <v>3945</v>
      </c>
      <c r="Z31" s="40" t="s">
        <v>4066</v>
      </c>
      <c r="AA31" s="40" t="s">
        <v>4096</v>
      </c>
      <c r="AB31" s="40" t="s">
        <v>4152</v>
      </c>
      <c r="AC31" s="40" t="s">
        <v>4184</v>
      </c>
      <c r="AE31" s="40" t="s">
        <v>4234</v>
      </c>
      <c r="AF31" s="40" t="s">
        <v>4285</v>
      </c>
      <c r="AM31" s="6" t="s">
        <v>4441</v>
      </c>
      <c r="AN31" s="6" t="s">
        <v>4441</v>
      </c>
    </row>
    <row r="32" spans="1:40" ht="15">
      <c r="A32" s="103" t="str">
        <f>INDEX(AN2:AN76,A31)</f>
        <v xml:space="preserve">tona </v>
      </c>
      <c r="B32" s="36" t="str">
        <f t="shared" si="0"/>
        <v/>
      </c>
      <c r="C32" s="1" t="str">
        <f>IF($A$2=1,"",_xlfn.IFERROR(MATCH('Produkcja wytworzona - ilość'!$D$30,'Tabela PW'!A:A,0)+B31,""))</f>
        <v/>
      </c>
      <c r="F32" s="6"/>
      <c r="I32" s="6">
        <v>32</v>
      </c>
      <c r="J32" s="6" t="str">
        <f>IF(INDEX(K:AK,I32,'Słownik PW'!$A$4)=0,"",INDEX(K:AK,I32,'Słownik PW'!$A$4))</f>
        <v/>
      </c>
      <c r="O32" s="40" t="s">
        <v>3771</v>
      </c>
      <c r="X32" s="40" t="s">
        <v>3946</v>
      </c>
      <c r="AA32" s="40" t="s">
        <v>4097</v>
      </c>
      <c r="AB32" s="40" t="s">
        <v>4153</v>
      </c>
      <c r="AC32" s="40" t="s">
        <v>4185</v>
      </c>
      <c r="AE32" s="40" t="s">
        <v>4235</v>
      </c>
      <c r="AF32" s="40" t="s">
        <v>4286</v>
      </c>
      <c r="AM32" s="6" t="s">
        <v>154</v>
      </c>
      <c r="AN32" s="6" t="s">
        <v>4437</v>
      </c>
    </row>
    <row r="33" spans="1:40" ht="15">
      <c r="A33" s="103"/>
      <c r="B33" s="36" t="str">
        <f t="shared" si="0"/>
        <v/>
      </c>
      <c r="C33" s="1" t="str">
        <f>IF($A$2=1,"",_xlfn.IFERROR(MATCH('Produkcja wytworzona - ilość'!$D$30,'Tabela PW'!A:A,0)+B32,""))</f>
        <v/>
      </c>
      <c r="F33" s="6"/>
      <c r="I33" s="6">
        <v>33</v>
      </c>
      <c r="J33" s="6" t="str">
        <f>IF(INDEX(K:AK,I33,'Słownik PW'!$A$4)=0,"",INDEX(K:AK,I33,'Słownik PW'!$A$4))</f>
        <v/>
      </c>
      <c r="O33" s="40" t="s">
        <v>3772</v>
      </c>
      <c r="X33" s="40" t="s">
        <v>3947</v>
      </c>
      <c r="AA33" s="40" t="s">
        <v>4098</v>
      </c>
      <c r="AB33" s="40" t="s">
        <v>4154</v>
      </c>
      <c r="AC33" s="40" t="s">
        <v>4186</v>
      </c>
      <c r="AE33" s="40" t="s">
        <v>4236</v>
      </c>
      <c r="AF33" s="40" t="s">
        <v>4287</v>
      </c>
      <c r="AM33" s="6" t="s">
        <v>4417</v>
      </c>
      <c r="AN33" s="6" t="s">
        <v>4418</v>
      </c>
    </row>
    <row r="34" spans="1:40" ht="15">
      <c r="A34" s="103"/>
      <c r="B34" s="36" t="str">
        <f t="shared" si="0"/>
        <v/>
      </c>
      <c r="C34" s="1" t="str">
        <f>IF($A$2=1,"",_xlfn.IFERROR(MATCH('Produkcja wytworzona - ilość'!$D$30,'Tabela PW'!A:A,0)+B33,""))</f>
        <v/>
      </c>
      <c r="F34" s="6"/>
      <c r="I34" s="6">
        <v>34</v>
      </c>
      <c r="J34" s="6" t="str">
        <f>IF(INDEX(K:AK,I34,'Słownik PW'!$A$4)=0,"",INDEX(K:AK,I34,'Słownik PW'!$A$4))</f>
        <v/>
      </c>
      <c r="O34" s="40" t="s">
        <v>3773</v>
      </c>
      <c r="X34" s="40" t="s">
        <v>3948</v>
      </c>
      <c r="AA34" s="40" t="s">
        <v>4099</v>
      </c>
      <c r="AC34" s="40" t="s">
        <v>4187</v>
      </c>
      <c r="AE34" s="40" t="s">
        <v>4237</v>
      </c>
      <c r="AF34" s="40" t="s">
        <v>4288</v>
      </c>
      <c r="AM34" s="6" t="s">
        <v>4508</v>
      </c>
      <c r="AN34" s="6" t="s">
        <v>4509</v>
      </c>
    </row>
    <row r="35" spans="1:40" ht="12" thickBot="1">
      <c r="A35" s="104"/>
      <c r="B35" s="36" t="str">
        <f t="shared" si="0"/>
        <v/>
      </c>
      <c r="C35" s="1" t="str">
        <f>IF($A$2=1,"",_xlfn.IFERROR(MATCH('Produkcja wytworzona - ilość'!$D$30,'Tabela PW'!A:A,0)+B34,""))</f>
        <v/>
      </c>
      <c r="F35" s="6"/>
      <c r="I35" s="6">
        <v>35</v>
      </c>
      <c r="J35" s="6" t="str">
        <f>IF(INDEX(K:AK,I35,'Słownik PW'!$A$4)=0,"",INDEX(K:AK,I35,'Słownik PW'!$A$4))</f>
        <v/>
      </c>
      <c r="O35" s="40" t="s">
        <v>3774</v>
      </c>
      <c r="X35" s="40" t="s">
        <v>3949</v>
      </c>
      <c r="AA35" s="40" t="s">
        <v>4100</v>
      </c>
      <c r="AC35" s="40" t="s">
        <v>4188</v>
      </c>
      <c r="AE35" s="40" t="s">
        <v>4238</v>
      </c>
      <c r="AF35" s="40" t="s">
        <v>4289</v>
      </c>
      <c r="AM35" s="6" t="s">
        <v>291</v>
      </c>
      <c r="AN35" s="6" t="s">
        <v>4489</v>
      </c>
    </row>
    <row r="36" spans="2:40" ht="15">
      <c r="B36" s="36" t="str">
        <f t="shared" si="0"/>
        <v/>
      </c>
      <c r="C36" s="1" t="str">
        <f>IF($A$2=1,"",_xlfn.IFERROR(MATCH('Produkcja wytworzona - ilość'!$D$30,'Tabela PW'!A:A,0)+B35,""))</f>
        <v/>
      </c>
      <c r="F36" s="6"/>
      <c r="I36" s="6">
        <v>36</v>
      </c>
      <c r="J36" s="6" t="str">
        <f>IF(INDEX(K:AK,I36,'Słownik PW'!$A$4)=0,"",INDEX(K:AK,I36,'Słownik PW'!$A$4))</f>
        <v/>
      </c>
      <c r="O36" s="40" t="s">
        <v>3775</v>
      </c>
      <c r="X36" s="40" t="s">
        <v>3950</v>
      </c>
      <c r="AA36" s="40" t="s">
        <v>4101</v>
      </c>
      <c r="AE36" s="40" t="s">
        <v>4239</v>
      </c>
      <c r="AF36" s="40" t="s">
        <v>4290</v>
      </c>
      <c r="AM36" s="6" t="s">
        <v>4484</v>
      </c>
      <c r="AN36" s="6" t="s">
        <v>4485</v>
      </c>
    </row>
    <row r="37" spans="2:40" ht="15">
      <c r="B37" s="36" t="str">
        <f t="shared" si="0"/>
        <v/>
      </c>
      <c r="C37" s="1" t="str">
        <f>IF($A$2=1,"",_xlfn.IFERROR(MATCH('Produkcja wytworzona - ilość'!$D$30,'Tabela PW'!A:A,0)+B36,""))</f>
        <v/>
      </c>
      <c r="F37" s="6"/>
      <c r="I37" s="6">
        <v>37</v>
      </c>
      <c r="J37" s="6" t="str">
        <f>IF(INDEX(K:AK,I37,'Słownik PW'!$A$4)=0,"",INDEX(K:AK,I37,'Słownik PW'!$A$4))</f>
        <v/>
      </c>
      <c r="O37" s="40" t="s">
        <v>3776</v>
      </c>
      <c r="X37" s="40" t="s">
        <v>3951</v>
      </c>
      <c r="AA37" s="40" t="s">
        <v>4102</v>
      </c>
      <c r="AE37" s="40" t="s">
        <v>4240</v>
      </c>
      <c r="AF37" s="40" t="s">
        <v>4291</v>
      </c>
      <c r="AM37" s="6" t="s">
        <v>4490</v>
      </c>
      <c r="AN37" s="6" t="s">
        <v>4491</v>
      </c>
    </row>
    <row r="38" spans="2:40" ht="15">
      <c r="B38" s="36" t="str">
        <f t="shared" si="0"/>
        <v/>
      </c>
      <c r="C38" s="1" t="str">
        <f>IF($A$2=1,"",_xlfn.IFERROR(MATCH('Produkcja wytworzona - ilość'!$D$30,'Tabela PW'!A:A,0)+B37,""))</f>
        <v/>
      </c>
      <c r="F38" s="6"/>
      <c r="I38" s="6">
        <v>38</v>
      </c>
      <c r="J38" s="6" t="str">
        <f>IF(INDEX(K:AK,I38,'Słownik PW'!$A$4)=0,"",INDEX(K:AK,I38,'Słownik PW'!$A$4))</f>
        <v/>
      </c>
      <c r="O38" s="40" t="s">
        <v>3777</v>
      </c>
      <c r="X38" s="40" t="s">
        <v>3952</v>
      </c>
      <c r="AA38" s="40" t="s">
        <v>4103</v>
      </c>
      <c r="AE38" s="40" t="s">
        <v>4241</v>
      </c>
      <c r="AF38" s="40" t="s">
        <v>4292</v>
      </c>
      <c r="AM38" s="6" t="s">
        <v>4486</v>
      </c>
      <c r="AN38" s="6" t="s">
        <v>4487</v>
      </c>
    </row>
    <row r="39" spans="2:40" ht="15">
      <c r="B39" s="36" t="str">
        <f t="shared" si="0"/>
        <v/>
      </c>
      <c r="C39" s="1" t="str">
        <f>IF($A$2=1,"",_xlfn.IFERROR(MATCH('Produkcja wytworzona - ilość'!$D$30,'Tabela PW'!A:A,0)+B38,""))</f>
        <v/>
      </c>
      <c r="F39" s="6"/>
      <c r="I39" s="6">
        <v>39</v>
      </c>
      <c r="J39" s="6" t="str">
        <f>IF(INDEX(K:AK,I39,'Słownik PW'!$A$4)=0,"",INDEX(K:AK,I39,'Słownik PW'!$A$4))</f>
        <v/>
      </c>
      <c r="O39" s="40" t="s">
        <v>3778</v>
      </c>
      <c r="X39" s="40" t="s">
        <v>3953</v>
      </c>
      <c r="AA39" s="40" t="s">
        <v>4104</v>
      </c>
      <c r="AE39" s="40" t="s">
        <v>4242</v>
      </c>
      <c r="AF39" s="40" t="s">
        <v>4293</v>
      </c>
      <c r="AM39" s="6" t="s">
        <v>4530</v>
      </c>
      <c r="AN39" s="6" t="s">
        <v>4488</v>
      </c>
    </row>
    <row r="40" spans="2:40" ht="15">
      <c r="B40" s="36" t="str">
        <f t="shared" si="0"/>
        <v/>
      </c>
      <c r="C40" s="1" t="str">
        <f>IF($A$2=1,"",_xlfn.IFERROR(MATCH('Produkcja wytworzona - ilość'!$D$30,'Tabela PW'!A:A,0)+B39,""))</f>
        <v/>
      </c>
      <c r="F40" s="6"/>
      <c r="I40" s="6">
        <v>40</v>
      </c>
      <c r="J40" s="6" t="str">
        <f>IF(INDEX(K:AK,I40,'Słownik PW'!$A$4)=0,"",INDEX(K:AK,I40,'Słownik PW'!$A$4))</f>
        <v/>
      </c>
      <c r="O40" s="40" t="s">
        <v>3779</v>
      </c>
      <c r="X40" s="40" t="s">
        <v>3954</v>
      </c>
      <c r="AA40" s="40" t="s">
        <v>4105</v>
      </c>
      <c r="AE40" s="40" t="s">
        <v>4243</v>
      </c>
      <c r="AF40" s="40" t="s">
        <v>4294</v>
      </c>
      <c r="AM40" s="6" t="s">
        <v>4493</v>
      </c>
      <c r="AN40" s="6" t="s">
        <v>4494</v>
      </c>
    </row>
    <row r="41" spans="2:40" ht="15">
      <c r="B41" s="36" t="str">
        <f t="shared" si="0"/>
        <v/>
      </c>
      <c r="C41" s="1" t="str">
        <f>IF($A$2=1,"",_xlfn.IFERROR(MATCH('Produkcja wytworzona - ilość'!$D$30,'Tabela PW'!A:A,0)+B40,""))</f>
        <v/>
      </c>
      <c r="F41" s="6"/>
      <c r="I41" s="6">
        <v>41</v>
      </c>
      <c r="J41" s="6" t="str">
        <f>IF(INDEX(K:AK,I41,'Słownik PW'!$A$4)=0,"",INDEX(K:AK,I41,'Słownik PW'!$A$4))</f>
        <v/>
      </c>
      <c r="O41" s="40" t="s">
        <v>3780</v>
      </c>
      <c r="X41" s="40" t="s">
        <v>3955</v>
      </c>
      <c r="AA41" s="40" t="s">
        <v>4106</v>
      </c>
      <c r="AE41" s="40" t="s">
        <v>4244</v>
      </c>
      <c r="AF41" s="40" t="s">
        <v>4295</v>
      </c>
      <c r="AM41" s="6" t="s">
        <v>249</v>
      </c>
      <c r="AN41" s="6" t="s">
        <v>4492</v>
      </c>
    </row>
    <row r="42" spans="2:40" ht="15">
      <c r="B42" s="36" t="str">
        <f t="shared" si="0"/>
        <v/>
      </c>
      <c r="C42" s="1" t="str">
        <f>IF($A$2=1,"",_xlfn.IFERROR(MATCH('Produkcja wytworzona - ilość'!$D$30,'Tabela PW'!A:A,0)+B41,""))</f>
        <v/>
      </c>
      <c r="F42" s="6"/>
      <c r="I42" s="6">
        <v>42</v>
      </c>
      <c r="J42" s="6" t="str">
        <f>IF(INDEX(K:AK,I42,'Słownik PW'!$A$4)=0,"",INDEX(K:AK,I42,'Słownik PW'!$A$4))</f>
        <v/>
      </c>
      <c r="O42" s="40" t="s">
        <v>3781</v>
      </c>
      <c r="X42" s="40" t="s">
        <v>3956</v>
      </c>
      <c r="AA42" s="40" t="s">
        <v>4107</v>
      </c>
      <c r="AE42" s="40" t="s">
        <v>4245</v>
      </c>
      <c r="AF42" s="40" t="s">
        <v>4296</v>
      </c>
      <c r="AM42" s="6" t="s">
        <v>4444</v>
      </c>
      <c r="AN42" s="6" t="s">
        <v>4445</v>
      </c>
    </row>
    <row r="43" spans="2:40" ht="15">
      <c r="B43" s="36" t="str">
        <f t="shared" si="0"/>
        <v/>
      </c>
      <c r="C43" s="1" t="str">
        <f>IF($A$2=1,"",_xlfn.IFERROR(MATCH('Produkcja wytworzona - ilość'!$D$30,'Tabela PW'!A:A,0)+B42,""))</f>
        <v/>
      </c>
      <c r="F43" s="6"/>
      <c r="I43" s="6">
        <v>43</v>
      </c>
      <c r="J43" s="6" t="str">
        <f>IF(INDEX(K:AK,I43,'Słownik PW'!$A$4)=0,"",INDEX(K:AK,I43,'Słownik PW'!$A$4))</f>
        <v/>
      </c>
      <c r="O43" s="40" t="s">
        <v>3782</v>
      </c>
      <c r="X43" s="40" t="s">
        <v>3957</v>
      </c>
      <c r="AA43" s="40" t="s">
        <v>4108</v>
      </c>
      <c r="AE43" s="40" t="s">
        <v>4246</v>
      </c>
      <c r="AF43" s="40" t="s">
        <v>4297</v>
      </c>
      <c r="AM43" s="6" t="s">
        <v>4517</v>
      </c>
      <c r="AN43" s="6" t="s">
        <v>4458</v>
      </c>
    </row>
    <row r="44" spans="2:40" ht="15">
      <c r="B44" s="36" t="str">
        <f t="shared" si="0"/>
        <v/>
      </c>
      <c r="C44" s="1" t="str">
        <f>IF($A$2=1,"",_xlfn.IFERROR(MATCH('Produkcja wytworzona - ilość'!$D$30,'Tabela PW'!A:A,0)+B43,""))</f>
        <v/>
      </c>
      <c r="F44" s="6"/>
      <c r="I44" s="6">
        <v>44</v>
      </c>
      <c r="J44" s="6" t="str">
        <f>IF(INDEX(K:AK,I44,'Słownik PW'!$A$4)=0,"",INDEX(K:AK,I44,'Słownik PW'!$A$4))</f>
        <v/>
      </c>
      <c r="O44" s="40" t="s">
        <v>3783</v>
      </c>
      <c r="X44" s="40" t="s">
        <v>3958</v>
      </c>
      <c r="AA44" s="40" t="s">
        <v>4109</v>
      </c>
      <c r="AE44" s="40" t="s">
        <v>4247</v>
      </c>
      <c r="AF44" s="40" t="s">
        <v>4298</v>
      </c>
      <c r="AM44" s="6" t="s">
        <v>4520</v>
      </c>
      <c r="AN44" s="6" t="s">
        <v>4463</v>
      </c>
    </row>
    <row r="45" spans="2:40" ht="15">
      <c r="B45" s="36" t="str">
        <f t="shared" si="0"/>
        <v/>
      </c>
      <c r="C45" s="1" t="str">
        <f>IF($A$2=1,"",_xlfn.IFERROR(MATCH('Produkcja wytworzona - ilość'!$D$30,'Tabela PW'!A:A,0)+B44,""))</f>
        <v/>
      </c>
      <c r="F45" s="6"/>
      <c r="I45" s="6">
        <v>45</v>
      </c>
      <c r="J45" s="6" t="str">
        <f>IF(INDEX(K:AK,I45,'Słownik PW'!$A$4)=0,"",INDEX(K:AK,I45,'Słownik PW'!$A$4))</f>
        <v/>
      </c>
      <c r="O45" s="40" t="s">
        <v>3784</v>
      </c>
      <c r="X45" s="40" t="s">
        <v>3959</v>
      </c>
      <c r="AA45" s="40" t="s">
        <v>4110</v>
      </c>
      <c r="AE45" s="40" t="s">
        <v>4248</v>
      </c>
      <c r="AF45" s="40" t="s">
        <v>4299</v>
      </c>
      <c r="AM45" s="6" t="s">
        <v>4521</v>
      </c>
      <c r="AN45" s="6" t="s">
        <v>4464</v>
      </c>
    </row>
    <row r="46" spans="2:40" ht="15">
      <c r="B46" s="36" t="str">
        <f t="shared" si="0"/>
        <v/>
      </c>
      <c r="C46" s="1" t="str">
        <f>IF($A$2=1,"",_xlfn.IFERROR(MATCH('Produkcja wytworzona - ilość'!$D$30,'Tabela PW'!A:A,0)+B45,""))</f>
        <v/>
      </c>
      <c r="F46" s="6"/>
      <c r="I46" s="6">
        <v>46</v>
      </c>
      <c r="J46" s="6" t="str">
        <f>IF(INDEX(K:AK,I46,'Słownik PW'!$A$4)=0,"",INDEX(K:AK,I46,'Słownik PW'!$A$4))</f>
        <v/>
      </c>
      <c r="O46" s="40" t="s">
        <v>3785</v>
      </c>
      <c r="X46" s="40" t="s">
        <v>3960</v>
      </c>
      <c r="AA46" s="40" t="s">
        <v>4111</v>
      </c>
      <c r="AE46" s="40" t="s">
        <v>4249</v>
      </c>
      <c r="AF46" s="40" t="s">
        <v>4300</v>
      </c>
      <c r="AM46" s="6" t="s">
        <v>4459</v>
      </c>
      <c r="AN46" s="6" t="s">
        <v>4460</v>
      </c>
    </row>
    <row r="47" spans="2:40" ht="15">
      <c r="B47" s="36" t="str">
        <f t="shared" si="0"/>
        <v/>
      </c>
      <c r="C47" s="1" t="str">
        <f>IF($A$2=1,"",_xlfn.IFERROR(MATCH('Produkcja wytworzona - ilość'!$D$30,'Tabela PW'!A:A,0)+B46,""))</f>
        <v/>
      </c>
      <c r="F47" s="6"/>
      <c r="I47" s="6">
        <v>47</v>
      </c>
      <c r="J47" s="6" t="str">
        <f>IF(INDEX(K:AK,I47,'Słownik PW'!$A$4)=0,"",INDEX(K:AK,I47,'Słownik PW'!$A$4))</f>
        <v/>
      </c>
      <c r="O47" s="40" t="s">
        <v>3786</v>
      </c>
      <c r="X47" s="40" t="s">
        <v>3961</v>
      </c>
      <c r="AA47" s="40" t="s">
        <v>4112</v>
      </c>
      <c r="AE47" s="40" t="s">
        <v>4250</v>
      </c>
      <c r="AF47" s="40" t="s">
        <v>4301</v>
      </c>
      <c r="AM47" s="6" t="s">
        <v>4518</v>
      </c>
      <c r="AN47" s="6" t="s">
        <v>4461</v>
      </c>
    </row>
    <row r="48" spans="2:40" ht="15">
      <c r="B48" s="36" t="str">
        <f t="shared" si="0"/>
        <v/>
      </c>
      <c r="C48" s="1" t="str">
        <f>IF($A$2=1,"",_xlfn.IFERROR(MATCH('Produkcja wytworzona - ilość'!$D$30,'Tabela PW'!A:A,0)+B47,""))</f>
        <v/>
      </c>
      <c r="F48" s="6"/>
      <c r="I48" s="6">
        <v>48</v>
      </c>
      <c r="J48" s="6" t="str">
        <f>IF(INDEX(K:AK,I48,'Słownik PW'!$A$4)=0,"",INDEX(K:AK,I48,'Słownik PW'!$A$4))</f>
        <v/>
      </c>
      <c r="O48" s="40" t="s">
        <v>3787</v>
      </c>
      <c r="X48" s="40" t="s">
        <v>3962</v>
      </c>
      <c r="AA48" s="40" t="s">
        <v>4113</v>
      </c>
      <c r="AE48" s="40" t="s">
        <v>4251</v>
      </c>
      <c r="AF48" s="40" t="s">
        <v>4302</v>
      </c>
      <c r="AM48" s="6" t="s">
        <v>4519</v>
      </c>
      <c r="AN48" s="6" t="s">
        <v>4462</v>
      </c>
    </row>
    <row r="49" spans="2:40" ht="15">
      <c r="B49" s="36" t="str">
        <f t="shared" si="0"/>
        <v/>
      </c>
      <c r="C49" s="1" t="str">
        <f>IF($A$2=1,"",_xlfn.IFERROR(MATCH('Produkcja wytworzona - ilość'!$D$30,'Tabela PW'!A:A,0)+B48,""))</f>
        <v/>
      </c>
      <c r="F49" s="6"/>
      <c r="I49" s="6">
        <v>49</v>
      </c>
      <c r="J49" s="6" t="str">
        <f>IF(INDEX(K:AK,I49,'Słownik PW'!$A$4)=0,"",INDEX(K:AK,I49,'Słownik PW'!$A$4))</f>
        <v/>
      </c>
      <c r="O49" s="40" t="s">
        <v>3788</v>
      </c>
      <c r="X49" s="40" t="s">
        <v>3963</v>
      </c>
      <c r="AA49" s="40" t="s">
        <v>4114</v>
      </c>
      <c r="AE49" s="40" t="s">
        <v>4252</v>
      </c>
      <c r="AF49" s="40" t="s">
        <v>4303</v>
      </c>
      <c r="AM49" s="6" t="s">
        <v>240</v>
      </c>
      <c r="AN49" s="6" t="s">
        <v>4450</v>
      </c>
    </row>
    <row r="50" spans="2:40" ht="15">
      <c r="B50" s="36" t="str">
        <f t="shared" si="0"/>
        <v/>
      </c>
      <c r="C50" s="1" t="str">
        <f>IF($A$2=1,"",_xlfn.IFERROR(MATCH('Produkcja wytworzona - ilość'!$D$30,'Tabela PW'!A:A,0)+B49,""))</f>
        <v/>
      </c>
      <c r="F50" s="6"/>
      <c r="I50" s="6">
        <v>50</v>
      </c>
      <c r="J50" s="6" t="str">
        <f>IF(INDEX(K:AK,I50,'Słownik PW'!$A$4)=0,"",INDEX(K:AK,I50,'Słownik PW'!$A$4))</f>
        <v/>
      </c>
      <c r="O50" s="40" t="s">
        <v>3789</v>
      </c>
      <c r="X50" s="40" t="s">
        <v>3964</v>
      </c>
      <c r="AA50" s="40" t="s">
        <v>4115</v>
      </c>
      <c r="AE50" s="40" t="s">
        <v>4253</v>
      </c>
      <c r="AF50" s="40" t="s">
        <v>4304</v>
      </c>
      <c r="AM50" s="6" t="s">
        <v>35</v>
      </c>
      <c r="AN50" s="6" t="s">
        <v>4465</v>
      </c>
    </row>
    <row r="51" spans="2:40" ht="15">
      <c r="B51" s="36" t="str">
        <f t="shared" si="0"/>
        <v/>
      </c>
      <c r="C51" s="1" t="str">
        <f>IF($A$2=1,"",_xlfn.IFERROR(MATCH('Produkcja wytworzona - ilość'!$D$30,'Tabela PW'!A:A,0)+B50,""))</f>
        <v/>
      </c>
      <c r="F51" s="6"/>
      <c r="I51" s="6">
        <v>51</v>
      </c>
      <c r="J51" s="6" t="str">
        <f>IF(INDEX(K:AK,I51,'Słownik PW'!$A$4)=0,"",INDEX(K:AK,I51,'Słownik PW'!$A$4))</f>
        <v/>
      </c>
      <c r="O51" s="40" t="s">
        <v>3790</v>
      </c>
      <c r="X51" s="40" t="s">
        <v>3965</v>
      </c>
      <c r="AA51" s="40" t="s">
        <v>4116</v>
      </c>
      <c r="AE51" s="40" t="s">
        <v>4254</v>
      </c>
      <c r="AF51" s="40" t="s">
        <v>4305</v>
      </c>
      <c r="AM51" s="6" t="s">
        <v>4522</v>
      </c>
      <c r="AN51" s="6" t="s">
        <v>4466</v>
      </c>
    </row>
    <row r="52" spans="2:40" ht="15">
      <c r="B52" s="36" t="str">
        <f aca="true" t="shared" si="1" ref="B52:B66">_xlfn.IFERROR(IF(B51=$A$2-1,"koniec",B51+1),"")</f>
        <v/>
      </c>
      <c r="C52" s="1" t="str">
        <f>IF($A$2=1,"",_xlfn.IFERROR(MATCH('Produkcja wytworzona - ilość'!$D$30,'Tabela PW'!A:A,0)+B51,""))</f>
        <v/>
      </c>
      <c r="I52" s="6">
        <v>52</v>
      </c>
      <c r="J52" s="6" t="str">
        <f>IF(INDEX(K:AK,I52,'Słownik PW'!$A$4)=0,"",INDEX(K:AK,I52,'Słownik PW'!$A$4))</f>
        <v/>
      </c>
      <c r="O52" s="40" t="s">
        <v>3791</v>
      </c>
      <c r="X52" s="40" t="s">
        <v>3966</v>
      </c>
      <c r="AA52" s="40" t="s">
        <v>4117</v>
      </c>
      <c r="AE52" s="40" t="s">
        <v>4255</v>
      </c>
      <c r="AF52" s="40" t="s">
        <v>4306</v>
      </c>
      <c r="AM52" s="6" t="s">
        <v>4467</v>
      </c>
      <c r="AN52" s="6" t="s">
        <v>4468</v>
      </c>
    </row>
    <row r="53" spans="2:40" ht="15">
      <c r="B53" s="36" t="str">
        <f t="shared" si="1"/>
        <v/>
      </c>
      <c r="C53" s="1" t="str">
        <f>IF($A$2=1,"",_xlfn.IFERROR(MATCH('Produkcja wytworzona - ilość'!$D$30,'Tabela PW'!A:A,0)+B52,""))</f>
        <v/>
      </c>
      <c r="I53" s="6">
        <v>53</v>
      </c>
      <c r="J53" s="6" t="str">
        <f>IF(INDEX(K:AK,I53,'Słownik PW'!$A$4)=0,"",INDEX(K:AK,I53,'Słownik PW'!$A$4))</f>
        <v/>
      </c>
      <c r="O53" s="40" t="s">
        <v>3792</v>
      </c>
      <c r="X53" s="40" t="s">
        <v>3967</v>
      </c>
      <c r="AA53" s="40" t="s">
        <v>4118</v>
      </c>
      <c r="AF53" s="40" t="s">
        <v>4307</v>
      </c>
      <c r="AM53" s="6" t="s">
        <v>4524</v>
      </c>
      <c r="AN53" s="6" t="s">
        <v>4471</v>
      </c>
    </row>
    <row r="54" spans="2:40" ht="15">
      <c r="B54" s="36" t="str">
        <f t="shared" si="1"/>
        <v/>
      </c>
      <c r="C54" s="1" t="str">
        <f>IF($A$2=1,"",_xlfn.IFERROR(MATCH('Produkcja wytworzona - ilość'!$D$30,'Tabela PW'!A:A,0)+B53,""))</f>
        <v/>
      </c>
      <c r="E54" s="6"/>
      <c r="F54" s="6"/>
      <c r="I54" s="6">
        <v>54</v>
      </c>
      <c r="J54" s="6" t="str">
        <f>IF(INDEX(K:AK,I54,'Słownik PW'!$A$4)=0,"",INDEX(K:AK,I54,'Słownik PW'!$A$4))</f>
        <v/>
      </c>
      <c r="O54" s="40" t="s">
        <v>3793</v>
      </c>
      <c r="X54" s="40" t="s">
        <v>3968</v>
      </c>
      <c r="AA54" s="40" t="s">
        <v>4119</v>
      </c>
      <c r="AF54" s="40" t="s">
        <v>4308</v>
      </c>
      <c r="AM54" s="6" t="s">
        <v>242</v>
      </c>
      <c r="AN54" s="6" t="s">
        <v>4451</v>
      </c>
    </row>
    <row r="55" spans="2:40" ht="15">
      <c r="B55" s="36" t="str">
        <f t="shared" si="1"/>
        <v/>
      </c>
      <c r="C55" s="1" t="str">
        <f>IF($A$2=1,"",_xlfn.IFERROR(MATCH('Produkcja wytworzona - ilość'!$D$30,'Tabela PW'!A:A,0)+B54,""))</f>
        <v/>
      </c>
      <c r="I55" s="6">
        <v>55</v>
      </c>
      <c r="J55" s="6" t="str">
        <f>IF(INDEX(K:AK,I55,'Słownik PW'!$A$4)=0,"",INDEX(K:AK,I55,'Słownik PW'!$A$4))</f>
        <v/>
      </c>
      <c r="O55" s="40" t="s">
        <v>3794</v>
      </c>
      <c r="X55" s="40" t="s">
        <v>3969</v>
      </c>
      <c r="AA55" s="40" t="s">
        <v>4120</v>
      </c>
      <c r="AF55" s="40" t="s">
        <v>4309</v>
      </c>
      <c r="AM55" s="6" t="s">
        <v>4523</v>
      </c>
      <c r="AN55" s="6" t="s">
        <v>4470</v>
      </c>
    </row>
    <row r="56" spans="2:40" ht="15">
      <c r="B56" s="36" t="str">
        <f t="shared" si="1"/>
        <v/>
      </c>
      <c r="C56" s="1" t="str">
        <f>IF($A$2=1,"",_xlfn.IFERROR(MATCH('Produkcja wytworzona - ilość'!$D$30,'Tabela PW'!A:A,0)+B55,""))</f>
        <v/>
      </c>
      <c r="E56" s="6"/>
      <c r="F56" s="6"/>
      <c r="I56" s="6">
        <v>56</v>
      </c>
      <c r="J56" s="6" t="str">
        <f>IF(INDEX(K:AK,I56,'Słownik PW'!$A$4)=0,"",INDEX(K:AK,I56,'Słownik PW'!$A$4))</f>
        <v/>
      </c>
      <c r="O56" s="40" t="s">
        <v>3795</v>
      </c>
      <c r="X56" s="40" t="s">
        <v>3970</v>
      </c>
      <c r="AA56" s="40" t="s">
        <v>4121</v>
      </c>
      <c r="AF56" s="40" t="s">
        <v>4310</v>
      </c>
      <c r="AM56" s="6" t="s">
        <v>4514</v>
      </c>
      <c r="AN56" s="6" t="s">
        <v>4447</v>
      </c>
    </row>
    <row r="57" spans="2:40" ht="15">
      <c r="B57" s="36" t="str">
        <f t="shared" si="1"/>
        <v/>
      </c>
      <c r="C57" s="1" t="str">
        <f>IF($A$2=1,"",_xlfn.IFERROR(MATCH('Produkcja wytworzona - ilość'!$D$30,'Tabela PW'!A:A,0)+B56,""))</f>
        <v/>
      </c>
      <c r="E57" s="6"/>
      <c r="F57" s="6"/>
      <c r="I57" s="6">
        <v>57</v>
      </c>
      <c r="J57" s="6" t="str">
        <f>IF(INDEX(K:AK,I57,'Słownik PW'!$A$4)=0,"",INDEX(K:AK,I57,'Słownik PW'!$A$4))</f>
        <v/>
      </c>
      <c r="O57" s="40" t="s">
        <v>3796</v>
      </c>
      <c r="X57" s="40" t="s">
        <v>3971</v>
      </c>
      <c r="AA57" s="40" t="s">
        <v>4122</v>
      </c>
      <c r="AF57" s="40" t="s">
        <v>4311</v>
      </c>
      <c r="AM57" s="6" t="s">
        <v>4473</v>
      </c>
      <c r="AN57" s="6" t="s">
        <v>4474</v>
      </c>
    </row>
    <row r="58" spans="2:40" ht="15">
      <c r="B58" s="36" t="str">
        <f t="shared" si="1"/>
        <v/>
      </c>
      <c r="C58" s="1" t="str">
        <f>IF($A$2=1,"",_xlfn.IFERROR(MATCH('Produkcja wytworzona - ilość'!$D$30,'Tabela PW'!A:A,0)+B57,""))</f>
        <v/>
      </c>
      <c r="E58" s="6"/>
      <c r="F58" s="6"/>
      <c r="I58" s="6">
        <v>58</v>
      </c>
      <c r="J58" s="6" t="str">
        <f>IF(INDEX(K:AK,I58,'Słownik PW'!$A$4)=0,"",INDEX(K:AK,I58,'Słownik PW'!$A$4))</f>
        <v/>
      </c>
      <c r="O58" s="40" t="s">
        <v>3797</v>
      </c>
      <c r="X58" s="40" t="s">
        <v>3972</v>
      </c>
      <c r="AF58" s="40" t="s">
        <v>4312</v>
      </c>
      <c r="AM58" s="6" t="s">
        <v>287</v>
      </c>
      <c r="AN58" s="6" t="s">
        <v>4472</v>
      </c>
    </row>
    <row r="59" spans="2:40" ht="15">
      <c r="B59" s="36" t="str">
        <f t="shared" si="1"/>
        <v/>
      </c>
      <c r="C59" s="1" t="str">
        <f>IF($A$2=1,"",_xlfn.IFERROR(MATCH('Produkcja wytworzona - ilość'!$D$30,'Tabela PW'!A:A,0)+B58,""))</f>
        <v/>
      </c>
      <c r="E59" s="6"/>
      <c r="F59" s="6"/>
      <c r="I59" s="6">
        <v>59</v>
      </c>
      <c r="J59" s="6" t="str">
        <f>IF(INDEX(K:AK,I59,'Słownik PW'!$A$4)=0,"",INDEX(K:AK,I59,'Słownik PW'!$A$4))</f>
        <v/>
      </c>
      <c r="O59" s="40" t="s">
        <v>3798</v>
      </c>
      <c r="X59" s="40" t="s">
        <v>3973</v>
      </c>
      <c r="AF59" s="40" t="s">
        <v>4313</v>
      </c>
      <c r="AM59" s="6" t="s">
        <v>4526</v>
      </c>
      <c r="AN59" s="6" t="s">
        <v>4477</v>
      </c>
    </row>
    <row r="60" spans="2:40" ht="15">
      <c r="B60" s="36" t="str">
        <f t="shared" si="1"/>
        <v/>
      </c>
      <c r="C60" s="1" t="str">
        <f>IF($A$2=1,"",_xlfn.IFERROR(MATCH('Produkcja wytworzona - ilość'!$D$30,'Tabela PW'!A:A,0)+B59,""))</f>
        <v/>
      </c>
      <c r="E60" s="6"/>
      <c r="F60" s="6"/>
      <c r="I60" s="6">
        <v>60</v>
      </c>
      <c r="J60" s="6" t="str">
        <f>IF(INDEX(K:AK,I60,'Słownik PW'!$A$4)=0,"",INDEX(K:AK,I60,'Słownik PW'!$A$4))</f>
        <v/>
      </c>
      <c r="O60" s="40" t="s">
        <v>3799</v>
      </c>
      <c r="X60" s="40" t="s">
        <v>3974</v>
      </c>
      <c r="AF60" s="40" t="s">
        <v>4314</v>
      </c>
      <c r="AM60" s="6" t="s">
        <v>4527</v>
      </c>
      <c r="AN60" s="6" t="s">
        <v>4478</v>
      </c>
    </row>
    <row r="61" spans="2:40" ht="15">
      <c r="B61" s="36" t="str">
        <f t="shared" si="1"/>
        <v/>
      </c>
      <c r="C61" s="1" t="str">
        <f>IF($A$2=1,"",_xlfn.IFERROR(MATCH('Produkcja wytworzona - ilość'!$D$30,'Tabela PW'!A:A,0)+B60,""))</f>
        <v/>
      </c>
      <c r="E61" s="6"/>
      <c r="F61" s="6"/>
      <c r="I61" s="6">
        <v>61</v>
      </c>
      <c r="J61" s="6" t="str">
        <f>IF(INDEX(K:AK,I61,'Słownik PW'!$A$4)=0,"",INDEX(K:AK,I61,'Słownik PW'!$A$4))</f>
        <v/>
      </c>
      <c r="O61" s="40" t="s">
        <v>3800</v>
      </c>
      <c r="X61" s="40" t="s">
        <v>3975</v>
      </c>
      <c r="AF61" s="40" t="s">
        <v>4315</v>
      </c>
      <c r="AM61" s="6" t="s">
        <v>65</v>
      </c>
      <c r="AN61" s="6" t="s">
        <v>4475</v>
      </c>
    </row>
    <row r="62" spans="2:40" ht="15">
      <c r="B62" s="36" t="str">
        <f t="shared" si="1"/>
        <v/>
      </c>
      <c r="C62" s="1" t="str">
        <f>IF($A$2=1,"",_xlfn.IFERROR(MATCH('Produkcja wytworzona - ilość'!$D$30,'Tabela PW'!A:A,0)+B61,""))</f>
        <v/>
      </c>
      <c r="E62" s="6"/>
      <c r="F62" s="6"/>
      <c r="I62" s="6">
        <v>62</v>
      </c>
      <c r="J62" s="6" t="str">
        <f>IF(INDEX(K:AK,I62,'Słownik PW'!$A$4)=0,"",INDEX(K:AK,I62,'Słownik PW'!$A$4))</f>
        <v/>
      </c>
      <c r="O62" s="40" t="s">
        <v>3801</v>
      </c>
      <c r="X62" s="40" t="s">
        <v>3976</v>
      </c>
      <c r="AF62" s="40" t="s">
        <v>4316</v>
      </c>
      <c r="AM62" s="6" t="s">
        <v>250</v>
      </c>
      <c r="AN62" s="6" t="s">
        <v>4469</v>
      </c>
    </row>
    <row r="63" spans="2:40" ht="15">
      <c r="B63" s="36" t="str">
        <f t="shared" si="1"/>
        <v/>
      </c>
      <c r="C63" s="1" t="str">
        <f>IF($A$2=1,"",_xlfn.IFERROR(MATCH('Produkcja wytworzona - ilość'!$D$30,'Tabela PW'!A:A,0)+B62,""))</f>
        <v/>
      </c>
      <c r="E63" s="6"/>
      <c r="F63" s="6"/>
      <c r="I63" s="6">
        <v>63</v>
      </c>
      <c r="J63" s="6" t="str">
        <f>IF(INDEX(K:AK,I63,'Słownik PW'!$A$4)=0,"",INDEX(K:AK,I63,'Słownik PW'!$A$4))</f>
        <v/>
      </c>
      <c r="O63" s="40" t="s">
        <v>3802</v>
      </c>
      <c r="X63" s="40" t="s">
        <v>3977</v>
      </c>
      <c r="AF63" s="40" t="s">
        <v>4317</v>
      </c>
      <c r="AM63" s="6" t="s">
        <v>4525</v>
      </c>
      <c r="AN63" s="6" t="s">
        <v>4476</v>
      </c>
    </row>
    <row r="64" spans="2:40" ht="15">
      <c r="B64" s="36" t="str">
        <f t="shared" si="1"/>
        <v/>
      </c>
      <c r="C64" s="1" t="str">
        <f>IF($A$2=1,"",_xlfn.IFERROR(MATCH('Produkcja wytworzona - ilość'!$D$30,'Tabela PW'!A:A,0)+B63,""))</f>
        <v/>
      </c>
      <c r="E64" s="6"/>
      <c r="F64" s="6"/>
      <c r="I64" s="6">
        <v>64</v>
      </c>
      <c r="J64" s="6" t="str">
        <f>IF(INDEX(K:AK,I64,'Słownik PW'!$A$4)=0,"",INDEX(K:AK,I64,'Słownik PW'!$A$4))</f>
        <v/>
      </c>
      <c r="O64" s="40" t="s">
        <v>3803</v>
      </c>
      <c r="X64" s="40" t="s">
        <v>3978</v>
      </c>
      <c r="AF64" s="40" t="s">
        <v>4318</v>
      </c>
      <c r="AM64" s="6" t="s">
        <v>4513</v>
      </c>
      <c r="AN64" s="6" t="s">
        <v>4446</v>
      </c>
    </row>
    <row r="65" spans="2:40" ht="15">
      <c r="B65" s="36" t="str">
        <f t="shared" si="1"/>
        <v/>
      </c>
      <c r="C65" s="1" t="str">
        <f>IF($A$2=1,"",_xlfn.IFERROR(MATCH('Produkcja wytworzona - ilość'!$D$30,'Tabela PW'!A:A,0)+B64,""))</f>
        <v/>
      </c>
      <c r="E65" s="6"/>
      <c r="F65" s="6"/>
      <c r="I65" s="6">
        <v>65</v>
      </c>
      <c r="J65" s="6" t="str">
        <f>IF(INDEX(K:AK,I65,'Słownik PW'!$A$4)=0,"",INDEX(K:AK,I65,'Słownik PW'!$A$4))</f>
        <v/>
      </c>
      <c r="O65" s="40" t="s">
        <v>3804</v>
      </c>
      <c r="X65" s="40" t="s">
        <v>3979</v>
      </c>
      <c r="AF65" s="40" t="s">
        <v>4319</v>
      </c>
      <c r="AM65" s="6" t="s">
        <v>4531</v>
      </c>
      <c r="AN65" s="6" t="s">
        <v>4498</v>
      </c>
    </row>
    <row r="66" spans="2:40" ht="15">
      <c r="B66" s="36" t="str">
        <f t="shared" si="1"/>
        <v/>
      </c>
      <c r="C66" s="1" t="str">
        <f>IF($A$2=1,"",_xlfn.IFERROR(MATCH('Produkcja wytworzona - ilość'!$D$30,'Tabela PW'!A:A,0)+B65,""))</f>
        <v/>
      </c>
      <c r="E66" s="6"/>
      <c r="F66" s="6"/>
      <c r="I66" s="6">
        <v>66</v>
      </c>
      <c r="J66" s="6" t="str">
        <f>IF(INDEX(K:AK,I66,'Słownik PW'!$A$4)=0,"",INDEX(K:AK,I66,'Słownik PW'!$A$4))</f>
        <v/>
      </c>
      <c r="O66" s="40" t="s">
        <v>3805</v>
      </c>
      <c r="X66" s="40" t="s">
        <v>3980</v>
      </c>
      <c r="AF66" s="40" t="s">
        <v>4320</v>
      </c>
      <c r="AM66" s="6" t="s">
        <v>4554</v>
      </c>
      <c r="AN66" s="6" t="s">
        <v>4495</v>
      </c>
    </row>
    <row r="67" spans="2:40" ht="15">
      <c r="B67" s="36" t="str">
        <f aca="true" t="shared" si="2" ref="B67:B98">_xlfn.IFERROR(IF(B66=$A$2-1,"koniec",B66+1),"")</f>
        <v/>
      </c>
      <c r="C67" s="1" t="str">
        <f>IF($A$2=1,"",_xlfn.IFERROR(MATCH('Produkcja wytworzona - ilość'!$D$30,'Tabela PW'!A:A,0)+B66,""))</f>
        <v/>
      </c>
      <c r="E67" s="6"/>
      <c r="F67" s="6"/>
      <c r="I67" s="6">
        <v>67</v>
      </c>
      <c r="J67" s="6" t="str">
        <f>IF(INDEX(K:AK,I67,'Słownik PW'!$A$4)=0,"",INDEX(K:AK,I67,'Słownik PW'!$A$4))</f>
        <v/>
      </c>
      <c r="O67" s="40" t="s">
        <v>3806</v>
      </c>
      <c r="X67" s="40" t="s">
        <v>3981</v>
      </c>
      <c r="AF67" s="40" t="s">
        <v>4321</v>
      </c>
      <c r="AM67" s="6" t="s">
        <v>39</v>
      </c>
      <c r="AN67" s="6" t="s">
        <v>4443</v>
      </c>
    </row>
    <row r="68" spans="2:40" ht="15">
      <c r="B68" s="36" t="str">
        <f t="shared" si="2"/>
        <v/>
      </c>
      <c r="C68" s="1" t="str">
        <f>IF($A$2=1,"",_xlfn.IFERROR(MATCH('Produkcja wytworzona - ilość'!$D$30,'Tabela PW'!A:A,0)+B67,""))</f>
        <v/>
      </c>
      <c r="E68" s="6"/>
      <c r="F68" s="6"/>
      <c r="I68" s="6">
        <v>68</v>
      </c>
      <c r="J68" s="6" t="str">
        <f>IF(INDEX(K:AK,I68,'Słownik PW'!$A$4)=0,"",INDEX(K:AK,I68,'Słownik PW'!$A$4))</f>
        <v/>
      </c>
      <c r="O68" s="40" t="s">
        <v>3807</v>
      </c>
      <c r="X68" s="40" t="s">
        <v>3982</v>
      </c>
      <c r="AF68" s="40" t="s">
        <v>4322</v>
      </c>
      <c r="AM68" s="6" t="s">
        <v>59</v>
      </c>
      <c r="AN68" s="6" t="s">
        <v>4479</v>
      </c>
    </row>
    <row r="69" spans="2:40" ht="15">
      <c r="B69" s="36" t="str">
        <f t="shared" si="2"/>
        <v/>
      </c>
      <c r="C69" s="1" t="str">
        <f>IF($A$2=1,"",_xlfn.IFERROR(MATCH('Produkcja wytworzona - ilość'!$D$30,'Tabela PW'!A:A,0)+B68,""))</f>
        <v/>
      </c>
      <c r="E69" s="6"/>
      <c r="F69" s="6"/>
      <c r="I69" s="6">
        <v>69</v>
      </c>
      <c r="J69" s="6" t="str">
        <f>IF(INDEX(K:AK,I69,'Słownik PW'!$A$4)=0,"",INDEX(K:AK,I69,'Słownik PW'!$A$4))</f>
        <v/>
      </c>
      <c r="O69" s="40" t="s">
        <v>3808</v>
      </c>
      <c r="X69" s="40" t="s">
        <v>3983</v>
      </c>
      <c r="AF69" s="40" t="s">
        <v>4323</v>
      </c>
      <c r="AM69" s="6" t="s">
        <v>4528</v>
      </c>
      <c r="AN69" s="6" t="s">
        <v>4480</v>
      </c>
    </row>
    <row r="70" spans="2:40" ht="15">
      <c r="B70" s="36" t="str">
        <f t="shared" si="2"/>
        <v/>
      </c>
      <c r="C70" s="1" t="str">
        <f>IF($A$2=1,"",_xlfn.IFERROR(MATCH('Produkcja wytworzona - ilość'!$D$30,'Tabela PW'!A:A,0)+B69,""))</f>
        <v/>
      </c>
      <c r="E70" s="6"/>
      <c r="F70" s="6"/>
      <c r="I70" s="6">
        <v>70</v>
      </c>
      <c r="J70" s="6" t="str">
        <f>IF(INDEX(K:AK,I70,'Słownik PW'!$A$4)=0,"",INDEX(K:AK,I70,'Słownik PW'!$A$4))</f>
        <v/>
      </c>
      <c r="O70" s="40" t="s">
        <v>3809</v>
      </c>
      <c r="X70" s="40" t="s">
        <v>3984</v>
      </c>
      <c r="AF70" s="40" t="s">
        <v>4324</v>
      </c>
      <c r="AM70" s="6" t="s">
        <v>4529</v>
      </c>
      <c r="AN70" s="6" t="s">
        <v>4481</v>
      </c>
    </row>
    <row r="71" spans="2:40" ht="15">
      <c r="B71" s="36" t="str">
        <f t="shared" si="2"/>
        <v/>
      </c>
      <c r="C71" s="1" t="str">
        <f>IF($A$2=1,"",_xlfn.IFERROR(MATCH('Produkcja wytworzona - ilość'!$D$30,'Tabela PW'!A:A,0)+B70,""))</f>
        <v/>
      </c>
      <c r="E71" s="6"/>
      <c r="F71" s="6"/>
      <c r="I71" s="6">
        <v>71</v>
      </c>
      <c r="J71" s="6" t="str">
        <f>IF(INDEX(K:AK,I71,'Słownik PW'!$A$4)=0,"",INDEX(K:AK,I71,'Słownik PW'!$A$4))</f>
        <v/>
      </c>
      <c r="O71" s="40" t="s">
        <v>3810</v>
      </c>
      <c r="X71" s="40" t="s">
        <v>3985</v>
      </c>
      <c r="AF71" s="40" t="s">
        <v>4325</v>
      </c>
      <c r="AM71" s="6" t="s">
        <v>4482</v>
      </c>
      <c r="AN71" s="6" t="s">
        <v>4483</v>
      </c>
    </row>
    <row r="72" spans="2:40" ht="15">
      <c r="B72" s="36" t="str">
        <f t="shared" si="2"/>
        <v/>
      </c>
      <c r="C72" s="1" t="str">
        <f>IF($A$2=1,"",_xlfn.IFERROR(MATCH('Produkcja wytworzona - ilość'!$D$30,'Tabela PW'!A:A,0)+B71,""))</f>
        <v/>
      </c>
      <c r="E72" s="6"/>
      <c r="F72" s="6"/>
      <c r="I72" s="6">
        <v>72</v>
      </c>
      <c r="J72" s="6" t="str">
        <f>IF(INDEX(K:AK,I72,'Słownik PW'!$A$4)=0,"",INDEX(K:AK,I72,'Słownik PW'!$A$4))</f>
        <v/>
      </c>
      <c r="O72" s="40" t="s">
        <v>3811</v>
      </c>
      <c r="X72" s="40" t="s">
        <v>3986</v>
      </c>
      <c r="AF72" s="40" t="s">
        <v>4326</v>
      </c>
      <c r="AM72" s="6" t="s">
        <v>400</v>
      </c>
      <c r="AN72" s="6" t="s">
        <v>4507</v>
      </c>
    </row>
    <row r="73" spans="2:40" ht="15">
      <c r="B73" s="36" t="str">
        <f t="shared" si="2"/>
        <v/>
      </c>
      <c r="C73" s="1" t="str">
        <f>IF($A$2=1,"",_xlfn.IFERROR(MATCH('Produkcja wytworzona - ilość'!$D$30,'Tabela PW'!A:A,0)+B72,""))</f>
        <v/>
      </c>
      <c r="E73" s="6"/>
      <c r="F73" s="6"/>
      <c r="I73" s="6">
        <v>73</v>
      </c>
      <c r="J73" s="6" t="str">
        <f>IF(INDEX(K:AK,I73,'Słownik PW'!$A$4)=0,"",INDEX(K:AK,I73,'Słownik PW'!$A$4))</f>
        <v/>
      </c>
      <c r="O73" s="40" t="s">
        <v>3812</v>
      </c>
      <c r="X73" s="40" t="s">
        <v>3987</v>
      </c>
      <c r="AF73" s="40" t="s">
        <v>4327</v>
      </c>
      <c r="AM73" s="6" t="s">
        <v>4511</v>
      </c>
      <c r="AN73" s="6" t="s">
        <v>4425</v>
      </c>
    </row>
    <row r="74" spans="2:40" ht="15">
      <c r="B74" s="36" t="str">
        <f t="shared" si="2"/>
        <v/>
      </c>
      <c r="C74" s="1" t="str">
        <f>IF($A$2=1,"",_xlfn.IFERROR(MATCH('Produkcja wytworzona - ilość'!$D$30,'Tabela PW'!A:A,0)+B73,""))</f>
        <v/>
      </c>
      <c r="E74" s="6"/>
      <c r="F74" s="6"/>
      <c r="I74" s="6">
        <v>74</v>
      </c>
      <c r="J74" s="6" t="str">
        <f>IF(INDEX(K:AK,I74,'Słownik PW'!$A$4)=0,"",INDEX(K:AK,I74,'Słownik PW'!$A$4))</f>
        <v/>
      </c>
      <c r="O74" s="40" t="s">
        <v>3813</v>
      </c>
      <c r="X74" s="40" t="s">
        <v>3988</v>
      </c>
      <c r="AF74" s="40" t="s">
        <v>4328</v>
      </c>
      <c r="AM74" s="6" t="s">
        <v>181</v>
      </c>
      <c r="AN74" s="6" t="s">
        <v>4442</v>
      </c>
    </row>
    <row r="75" spans="2:40" ht="15">
      <c r="B75" s="36" t="str">
        <f t="shared" si="2"/>
        <v/>
      </c>
      <c r="C75" s="1" t="str">
        <f>IF($A$2=1,"",_xlfn.IFERROR(MATCH('Produkcja wytworzona - ilość'!$D$30,'Tabela PW'!A:A,0)+B74,""))</f>
        <v/>
      </c>
      <c r="E75" s="6"/>
      <c r="F75" s="6"/>
      <c r="I75" s="6">
        <v>75</v>
      </c>
      <c r="J75" s="6" t="str">
        <f>IF(INDEX(K:AK,I75,'Słownik PW'!$A$4)=0,"",INDEX(K:AK,I75,'Słownik PW'!$A$4))</f>
        <v/>
      </c>
      <c r="O75" s="40" t="s">
        <v>3814</v>
      </c>
      <c r="X75" s="40" t="s">
        <v>3989</v>
      </c>
      <c r="AF75" s="40" t="s">
        <v>4329</v>
      </c>
      <c r="AM75" s="6" t="s">
        <v>4438</v>
      </c>
      <c r="AN75" s="6" t="s">
        <v>4439</v>
      </c>
    </row>
    <row r="76" spans="2:40" ht="15">
      <c r="B76" s="36" t="str">
        <f t="shared" si="2"/>
        <v/>
      </c>
      <c r="C76" s="1" t="str">
        <f>IF($A$2=1,"",_xlfn.IFERROR(MATCH('Produkcja wytworzona - ilość'!$D$30,'Tabela PW'!A:A,0)+B75,""))</f>
        <v/>
      </c>
      <c r="E76" s="6"/>
      <c r="F76" s="6"/>
      <c r="I76" s="6">
        <v>76</v>
      </c>
      <c r="J76" s="6" t="str">
        <f>IF(INDEX(K:AK,I76,'Słownik PW'!$A$4)=0,"",INDEX(K:AK,I76,'Słownik PW'!$A$4))</f>
        <v/>
      </c>
      <c r="O76" s="40" t="s">
        <v>3815</v>
      </c>
      <c r="X76" s="40" t="s">
        <v>3990</v>
      </c>
      <c r="AF76" s="40" t="s">
        <v>4330</v>
      </c>
      <c r="AM76" s="6" t="s">
        <v>4412</v>
      </c>
      <c r="AN76" s="6" t="s">
        <v>4413</v>
      </c>
    </row>
    <row r="77" spans="2:32" ht="15">
      <c r="B77" s="36" t="str">
        <f t="shared" si="2"/>
        <v/>
      </c>
      <c r="C77" s="1" t="str">
        <f>IF($A$2=1,"",_xlfn.IFERROR(MATCH('Produkcja wytworzona - ilość'!$D$30,'Tabela PW'!A:A,0)+B76,""))</f>
        <v/>
      </c>
      <c r="E77" s="6"/>
      <c r="F77" s="6"/>
      <c r="I77" s="6">
        <v>77</v>
      </c>
      <c r="J77" s="6" t="str">
        <f>IF(INDEX(K:AK,I77,'Słownik PW'!$A$4)=0,"",INDEX(K:AK,I77,'Słownik PW'!$A$4))</f>
        <v/>
      </c>
      <c r="O77" s="40" t="s">
        <v>3816</v>
      </c>
      <c r="X77" s="40" t="s">
        <v>3991</v>
      </c>
      <c r="AF77" s="40" t="s">
        <v>4331</v>
      </c>
    </row>
    <row r="78" spans="2:32" ht="15">
      <c r="B78" s="36" t="str">
        <f t="shared" si="2"/>
        <v/>
      </c>
      <c r="C78" s="1" t="str">
        <f>IF($A$2=1,"",_xlfn.IFERROR(MATCH('Produkcja wytworzona - ilość'!$D$30,'Tabela PW'!A:A,0)+B77,""))</f>
        <v/>
      </c>
      <c r="E78" s="6"/>
      <c r="F78" s="6"/>
      <c r="I78" s="6">
        <v>78</v>
      </c>
      <c r="J78" s="6" t="str">
        <f>IF(INDEX(K:AK,I78,'Słownik PW'!$A$4)=0,"",INDEX(K:AK,I78,'Słownik PW'!$A$4))</f>
        <v/>
      </c>
      <c r="X78" s="40" t="s">
        <v>3992</v>
      </c>
      <c r="AF78" s="40" t="s">
        <v>4332</v>
      </c>
    </row>
    <row r="79" spans="2:32" ht="15">
      <c r="B79" s="36" t="str">
        <f t="shared" si="2"/>
        <v/>
      </c>
      <c r="C79" s="1" t="str">
        <f>IF($A$2=1,"",_xlfn.IFERROR(MATCH('Produkcja wytworzona - ilość'!$D$30,'Tabela PW'!A:A,0)+B78,""))</f>
        <v/>
      </c>
      <c r="E79" s="6"/>
      <c r="F79" s="6"/>
      <c r="I79" s="6">
        <v>79</v>
      </c>
      <c r="J79" s="6" t="str">
        <f>IF(INDEX(K:AK,I79,'Słownik PW'!$A$4)=0,"",INDEX(K:AK,I79,'Słownik PW'!$A$4))</f>
        <v/>
      </c>
      <c r="X79" s="40" t="s">
        <v>3993</v>
      </c>
      <c r="AF79" s="40" t="s">
        <v>4333</v>
      </c>
    </row>
    <row r="80" spans="2:32" ht="15">
      <c r="B80" s="36" t="str">
        <f t="shared" si="2"/>
        <v/>
      </c>
      <c r="C80" s="1" t="str">
        <f>IF($A$2=1,"",_xlfn.IFERROR(MATCH('Produkcja wytworzona - ilość'!$D$30,'Tabela PW'!A:A,0)+B79,""))</f>
        <v/>
      </c>
      <c r="E80" s="6"/>
      <c r="F80" s="6"/>
      <c r="I80" s="6">
        <v>80</v>
      </c>
      <c r="J80" s="6" t="str">
        <f>IF(INDEX(K:AK,I80,'Słownik PW'!$A$4)=0,"",INDEX(K:AK,I80,'Słownik PW'!$A$4))</f>
        <v/>
      </c>
      <c r="X80" s="40" t="s">
        <v>3994</v>
      </c>
      <c r="AF80" s="40" t="s">
        <v>4334</v>
      </c>
    </row>
    <row r="81" spans="2:32" ht="15">
      <c r="B81" s="36" t="str">
        <f t="shared" si="2"/>
        <v/>
      </c>
      <c r="C81" s="1" t="str">
        <f>IF($A$2=1,"",_xlfn.IFERROR(MATCH('Produkcja wytworzona - ilość'!$D$30,'Tabela PW'!A:A,0)+B80,""))</f>
        <v/>
      </c>
      <c r="E81" s="6"/>
      <c r="F81" s="6"/>
      <c r="I81" s="6">
        <v>81</v>
      </c>
      <c r="J81" s="6" t="str">
        <f>IF(INDEX(K:AK,I81,'Słownik PW'!$A$4)=0,"",INDEX(K:AK,I81,'Słownik PW'!$A$4))</f>
        <v/>
      </c>
      <c r="X81" s="40" t="s">
        <v>3995</v>
      </c>
      <c r="AF81" s="40" t="s">
        <v>4335</v>
      </c>
    </row>
    <row r="82" spans="2:32" ht="15">
      <c r="B82" s="36" t="str">
        <f t="shared" si="2"/>
        <v/>
      </c>
      <c r="C82" s="1" t="str">
        <f>IF($A$2=1,"",_xlfn.IFERROR(MATCH('Produkcja wytworzona - ilość'!$D$30,'Tabela PW'!A:A,0)+B81,""))</f>
        <v/>
      </c>
      <c r="E82" s="6"/>
      <c r="F82" s="6"/>
      <c r="I82" s="6">
        <v>82</v>
      </c>
      <c r="J82" s="6" t="str">
        <f>IF(INDEX(K:AK,I82,'Słownik PW'!$A$4)=0,"",INDEX(K:AK,I82,'Słownik PW'!$A$4))</f>
        <v/>
      </c>
      <c r="X82" s="40" t="s">
        <v>3996</v>
      </c>
      <c r="AF82" s="40" t="s">
        <v>4336</v>
      </c>
    </row>
    <row r="83" spans="2:32" ht="15">
      <c r="B83" s="36" t="str">
        <f t="shared" si="2"/>
        <v/>
      </c>
      <c r="C83" s="1" t="str">
        <f>IF($A$2=1,"",_xlfn.IFERROR(MATCH('Produkcja wytworzona - ilość'!$D$30,'Tabela PW'!A:A,0)+B82,""))</f>
        <v/>
      </c>
      <c r="E83" s="6"/>
      <c r="F83" s="6"/>
      <c r="I83" s="6">
        <v>83</v>
      </c>
      <c r="J83" s="6" t="str">
        <f>IF(INDEX(K:AK,I83,'Słownik PW'!$A$4)=0,"",INDEX(K:AK,I83,'Słownik PW'!$A$4))</f>
        <v/>
      </c>
      <c r="X83" s="40" t="s">
        <v>3997</v>
      </c>
      <c r="AF83" s="40" t="s">
        <v>4337</v>
      </c>
    </row>
    <row r="84" spans="2:32" ht="15">
      <c r="B84" s="36" t="str">
        <f t="shared" si="2"/>
        <v/>
      </c>
      <c r="C84" s="1" t="str">
        <f>IF($A$2=1,"",_xlfn.IFERROR(MATCH('Produkcja wytworzona - ilość'!$D$30,'Tabela PW'!A:A,0)+B83,""))</f>
        <v/>
      </c>
      <c r="E84" s="6"/>
      <c r="F84" s="6"/>
      <c r="I84" s="6">
        <v>84</v>
      </c>
      <c r="J84" s="6" t="str">
        <f>IF(INDEX(K:AK,I84,'Słownik PW'!$A$4)=0,"",INDEX(K:AK,I84,'Słownik PW'!$A$4))</f>
        <v/>
      </c>
      <c r="X84" s="40" t="s">
        <v>3998</v>
      </c>
      <c r="AF84" s="40" t="s">
        <v>4338</v>
      </c>
    </row>
    <row r="85" spans="2:24" ht="15">
      <c r="B85" s="36" t="str">
        <f t="shared" si="2"/>
        <v/>
      </c>
      <c r="C85" s="1" t="str">
        <f>IF($A$2=1,"",_xlfn.IFERROR(MATCH('Produkcja wytworzona - ilość'!$D$30,'Tabela PW'!A:A,0)+B84,""))</f>
        <v/>
      </c>
      <c r="E85" s="6"/>
      <c r="F85" s="6"/>
      <c r="I85" s="6">
        <v>85</v>
      </c>
      <c r="J85" s="6" t="str">
        <f>IF(INDEX(K:AK,I85,'Słownik PW'!$A$4)=0,"",INDEX(K:AK,I85,'Słownik PW'!$A$4))</f>
        <v/>
      </c>
      <c r="X85" s="40" t="s">
        <v>3999</v>
      </c>
    </row>
    <row r="86" spans="2:24" ht="15">
      <c r="B86" s="36" t="str">
        <f t="shared" si="2"/>
        <v/>
      </c>
      <c r="C86" s="1" t="str">
        <f>IF($A$2=1,"",_xlfn.IFERROR(MATCH('Produkcja wytworzona - ilość'!$D$30,'Tabela PW'!A:A,0)+B85,""))</f>
        <v/>
      </c>
      <c r="E86" s="6"/>
      <c r="F86" s="6"/>
      <c r="I86" s="6">
        <v>86</v>
      </c>
      <c r="J86" s="6" t="str">
        <f>IF(INDEX(K:AK,I86,'Słownik PW'!$A$4)=0,"",INDEX(K:AK,I86,'Słownik PW'!$A$4))</f>
        <v/>
      </c>
      <c r="X86" s="40" t="s">
        <v>4000</v>
      </c>
    </row>
    <row r="87" spans="2:24" ht="15">
      <c r="B87" s="36" t="str">
        <f t="shared" si="2"/>
        <v/>
      </c>
      <c r="C87" s="1" t="str">
        <f>IF($A$2=1,"",_xlfn.IFERROR(MATCH('Produkcja wytworzona - ilość'!$D$30,'Tabela PW'!A:A,0)+B86,""))</f>
        <v/>
      </c>
      <c r="E87" s="6"/>
      <c r="F87" s="6"/>
      <c r="I87" s="6">
        <v>87</v>
      </c>
      <c r="J87" s="6" t="str">
        <f>IF(INDEX(K:AK,I87,'Słownik PW'!$A$4)=0,"",INDEX(K:AK,I87,'Słownik PW'!$A$4))</f>
        <v/>
      </c>
      <c r="X87" s="40" t="s">
        <v>4001</v>
      </c>
    </row>
    <row r="88" spans="2:24" ht="15">
      <c r="B88" s="36" t="str">
        <f t="shared" si="2"/>
        <v/>
      </c>
      <c r="C88" s="1" t="str">
        <f>IF($A$2=1,"",_xlfn.IFERROR(MATCH('Produkcja wytworzona - ilość'!$D$30,'Tabela PW'!A:A,0)+B87,""))</f>
        <v/>
      </c>
      <c r="E88" s="6"/>
      <c r="F88" s="6"/>
      <c r="I88" s="6">
        <v>88</v>
      </c>
      <c r="J88" s="6" t="str">
        <f>IF(INDEX(K:AK,I88,'Słownik PW'!$A$4)=0,"",INDEX(K:AK,I88,'Słownik PW'!$A$4))</f>
        <v/>
      </c>
      <c r="X88" s="40" t="s">
        <v>4002</v>
      </c>
    </row>
    <row r="89" spans="2:24" ht="15">
      <c r="B89" s="36" t="str">
        <f t="shared" si="2"/>
        <v/>
      </c>
      <c r="C89" s="1" t="str">
        <f>IF($A$2=1,"",_xlfn.IFERROR(MATCH('Produkcja wytworzona - ilość'!$D$30,'Tabela PW'!A:A,0)+B88,""))</f>
        <v/>
      </c>
      <c r="E89" s="6"/>
      <c r="F89" s="6"/>
      <c r="I89" s="6">
        <v>89</v>
      </c>
      <c r="J89" s="6" t="str">
        <f>IF(INDEX(K:AK,I89,'Słownik PW'!$A$4)=0,"",INDEX(K:AK,I89,'Słownik PW'!$A$4))</f>
        <v/>
      </c>
      <c r="X89" s="40" t="s">
        <v>4003</v>
      </c>
    </row>
    <row r="90" spans="2:24" ht="15">
      <c r="B90" s="36" t="str">
        <f t="shared" si="2"/>
        <v/>
      </c>
      <c r="C90" s="1" t="str">
        <f>IF($A$2=1,"",_xlfn.IFERROR(MATCH('Produkcja wytworzona - ilość'!$D$30,'Tabela PW'!A:A,0)+B89,""))</f>
        <v/>
      </c>
      <c r="E90" s="6"/>
      <c r="F90" s="6"/>
      <c r="I90" s="6">
        <v>90</v>
      </c>
      <c r="J90" s="6" t="str">
        <f>IF(INDEX(K:AK,I90,'Słownik PW'!$A$4)=0,"",INDEX(K:AK,I90,'Słownik PW'!$A$4))</f>
        <v/>
      </c>
      <c r="X90" s="40" t="s">
        <v>4004</v>
      </c>
    </row>
    <row r="91" spans="2:24" ht="15">
      <c r="B91" s="36" t="str">
        <f t="shared" si="2"/>
        <v/>
      </c>
      <c r="C91" s="1" t="str">
        <f>IF($A$2=1,"",_xlfn.IFERROR(MATCH('Produkcja wytworzona - ilość'!$D$30,'Tabela PW'!A:A,0)+B90,""))</f>
        <v/>
      </c>
      <c r="E91" s="6"/>
      <c r="F91" s="6"/>
      <c r="I91" s="6">
        <v>91</v>
      </c>
      <c r="J91" s="6" t="str">
        <f>IF(INDEX(K:AK,I91,'Słownik PW'!$A$4)=0,"",INDEX(K:AK,I91,'Słownik PW'!$A$4))</f>
        <v/>
      </c>
      <c r="X91" s="40" t="s">
        <v>4005</v>
      </c>
    </row>
    <row r="92" spans="2:24" ht="15">
      <c r="B92" s="36" t="str">
        <f t="shared" si="2"/>
        <v/>
      </c>
      <c r="C92" s="1" t="str">
        <f>IF($A$2=1,"",_xlfn.IFERROR(MATCH('Produkcja wytworzona - ilość'!$D$30,'Tabela PW'!A:A,0)+B91,""))</f>
        <v/>
      </c>
      <c r="E92" s="6"/>
      <c r="F92" s="6"/>
      <c r="I92" s="6">
        <v>92</v>
      </c>
      <c r="J92" s="6" t="str">
        <f>IF(INDEX(K:AK,I92,'Słownik PW'!$A$4)=0,"",INDEX(K:AK,I92,'Słownik PW'!$A$4))</f>
        <v/>
      </c>
      <c r="X92" s="40" t="s">
        <v>4006</v>
      </c>
    </row>
    <row r="93" spans="2:24" ht="15">
      <c r="B93" s="36" t="str">
        <f t="shared" si="2"/>
        <v/>
      </c>
      <c r="C93" s="1" t="str">
        <f>IF($A$2=1,"",_xlfn.IFERROR(MATCH('Produkcja wytworzona - ilość'!$D$30,'Tabela PW'!A:A,0)+B92,""))</f>
        <v/>
      </c>
      <c r="E93" s="6"/>
      <c r="F93" s="6"/>
      <c r="I93" s="6">
        <v>93</v>
      </c>
      <c r="J93" s="6" t="str">
        <f>IF(INDEX(K:AK,I93,'Słownik PW'!$A$4)=0,"",INDEX(K:AK,I93,'Słownik PW'!$A$4))</f>
        <v/>
      </c>
      <c r="X93" s="40" t="s">
        <v>4007</v>
      </c>
    </row>
    <row r="94" spans="2:24" ht="15">
      <c r="B94" s="36" t="str">
        <f t="shared" si="2"/>
        <v/>
      </c>
      <c r="C94" s="1" t="str">
        <f>IF($A$2=1,"",_xlfn.IFERROR(MATCH('Produkcja wytworzona - ilość'!$D$30,'Tabela PW'!A:A,0)+B93,""))</f>
        <v/>
      </c>
      <c r="E94" s="6"/>
      <c r="F94" s="6"/>
      <c r="I94" s="6">
        <v>94</v>
      </c>
      <c r="J94" s="6" t="str">
        <f>IF(INDEX(K:AK,I94,'Słownik PW'!$A$4)=0,"",INDEX(K:AK,I94,'Słownik PW'!$A$4))</f>
        <v/>
      </c>
      <c r="X94" s="40" t="s">
        <v>4008</v>
      </c>
    </row>
    <row r="95" spans="2:24" ht="15">
      <c r="B95" s="36" t="str">
        <f t="shared" si="2"/>
        <v/>
      </c>
      <c r="C95" s="1" t="str">
        <f>IF($A$2=1,"",_xlfn.IFERROR(MATCH('Produkcja wytworzona - ilość'!$D$30,'Tabela PW'!A:A,0)+B94,""))</f>
        <v/>
      </c>
      <c r="E95" s="6"/>
      <c r="F95" s="6"/>
      <c r="I95" s="6">
        <v>95</v>
      </c>
      <c r="J95" s="6" t="str">
        <f>IF(INDEX(K:AK,I95,'Słownik PW'!$A$4)=0,"",INDEX(K:AK,I95,'Słownik PW'!$A$4))</f>
        <v/>
      </c>
      <c r="X95" s="40" t="s">
        <v>4009</v>
      </c>
    </row>
    <row r="96" spans="2:24" ht="15">
      <c r="B96" s="36" t="str">
        <f t="shared" si="2"/>
        <v/>
      </c>
      <c r="C96" s="1" t="str">
        <f>IF($A$2=1,"",_xlfn.IFERROR(MATCH('Produkcja wytworzona - ilość'!$D$30,'Tabela PW'!A:A,0)+B95,""))</f>
        <v/>
      </c>
      <c r="E96" s="6"/>
      <c r="F96" s="6"/>
      <c r="I96" s="6">
        <v>96</v>
      </c>
      <c r="J96" s="6" t="str">
        <f>IF(INDEX(K:AK,I96,'Słownik PW'!$A$4)=0,"",INDEX(K:AK,I96,'Słownik PW'!$A$4))</f>
        <v/>
      </c>
      <c r="X96" s="40" t="s">
        <v>4010</v>
      </c>
    </row>
    <row r="97" spans="2:24" ht="15">
      <c r="B97" s="36" t="str">
        <f t="shared" si="2"/>
        <v/>
      </c>
      <c r="C97" s="1" t="str">
        <f>IF($A$2=1,"",_xlfn.IFERROR(MATCH('Produkcja wytworzona - ilość'!$D$30,'Tabela PW'!A:A,0)+B96,""))</f>
        <v/>
      </c>
      <c r="E97" s="6"/>
      <c r="F97" s="6"/>
      <c r="I97" s="6">
        <v>97</v>
      </c>
      <c r="J97" s="6" t="str">
        <f>IF(INDEX(K:AK,I97,'Słownik PW'!$A$4)=0,"",INDEX(K:AK,I97,'Słownik PW'!$A$4))</f>
        <v/>
      </c>
      <c r="X97" s="40" t="s">
        <v>4011</v>
      </c>
    </row>
    <row r="98" spans="2:24" ht="15">
      <c r="B98" s="36" t="str">
        <f t="shared" si="2"/>
        <v/>
      </c>
      <c r="C98" s="1" t="str">
        <f>IF($A$2=1,"",_xlfn.IFERROR(MATCH('Produkcja wytworzona - ilość'!$D$30,'Tabela PW'!A:A,0)+B97,""))</f>
        <v/>
      </c>
      <c r="E98" s="6"/>
      <c r="F98" s="6"/>
      <c r="I98" s="6">
        <v>98</v>
      </c>
      <c r="J98" s="6" t="str">
        <f>IF(INDEX(K:AK,I98,'Słownik PW'!$A$4)=0,"",INDEX(K:AK,I98,'Słownik PW'!$A$4))</f>
        <v/>
      </c>
      <c r="X98" s="40" t="s">
        <v>4012</v>
      </c>
    </row>
    <row r="99" spans="2:24" ht="15">
      <c r="B99" s="36" t="str">
        <f aca="true" t="shared" si="3" ref="B99:B119">_xlfn.IFERROR(IF(B98=$A$2-1,"koniec",B98+1),"")</f>
        <v/>
      </c>
      <c r="C99" s="1" t="str">
        <f>IF($A$2=1,"",_xlfn.IFERROR(MATCH('Produkcja wytworzona - ilość'!$D$30,'Tabela PW'!A:A,0)+B98,""))</f>
        <v/>
      </c>
      <c r="E99" s="6"/>
      <c r="F99" s="6"/>
      <c r="I99" s="6">
        <v>99</v>
      </c>
      <c r="J99" s="6" t="str">
        <f>IF(INDEX(K:AK,I99,'Słownik PW'!$A$4)=0,"",INDEX(K:AK,I99,'Słownik PW'!$A$4))</f>
        <v/>
      </c>
      <c r="X99" s="40" t="s">
        <v>4013</v>
      </c>
    </row>
    <row r="100" spans="2:24" ht="15">
      <c r="B100" s="36" t="str">
        <f t="shared" si="3"/>
        <v/>
      </c>
      <c r="C100" s="1" t="str">
        <f>IF($A$2=1,"",_xlfn.IFERROR(MATCH('Produkcja wytworzona - ilość'!$D$30,'Tabela PW'!A:A,0)+B99,""))</f>
        <v/>
      </c>
      <c r="E100" s="6"/>
      <c r="F100" s="6"/>
      <c r="I100" s="6">
        <v>100</v>
      </c>
      <c r="J100" s="6" t="str">
        <f>IF(INDEX(K:AK,I100,'Słownik PW'!$A$4)=0,"",INDEX(K:AK,I100,'Słownik PW'!$A$4))</f>
        <v/>
      </c>
      <c r="X100" s="40" t="s">
        <v>4014</v>
      </c>
    </row>
    <row r="101" spans="2:24" ht="15">
      <c r="B101" s="36" t="str">
        <f t="shared" si="3"/>
        <v/>
      </c>
      <c r="C101" s="1" t="str">
        <f>IF($A$2=1,"",_xlfn.IFERROR(MATCH('Produkcja wytworzona - ilość'!$D$30,'Tabela PW'!A:A,0)+B100,""))</f>
        <v/>
      </c>
      <c r="E101" s="6"/>
      <c r="F101" s="6"/>
      <c r="I101" s="6">
        <v>101</v>
      </c>
      <c r="J101" s="6" t="str">
        <f>IF(INDEX(K:AK,I101,'Słownik PW'!$A$4)=0,"",INDEX(K:AK,I101,'Słownik PW'!$A$4))</f>
        <v/>
      </c>
      <c r="X101" s="40" t="s">
        <v>4015</v>
      </c>
    </row>
    <row r="102" spans="2:24" ht="15">
      <c r="B102" s="36" t="str">
        <f t="shared" si="3"/>
        <v/>
      </c>
      <c r="C102" s="1" t="str">
        <f>IF($A$2=1,"",_xlfn.IFERROR(MATCH('Produkcja wytworzona - ilość'!$D$30,'Tabela PW'!A:A,0)+B101,""))</f>
        <v/>
      </c>
      <c r="E102" s="6"/>
      <c r="F102" s="6"/>
      <c r="I102" s="6">
        <v>102</v>
      </c>
      <c r="J102" s="6" t="str">
        <f>IF(INDEX(K:AK,I102,'Słownik PW'!$A$4)=0,"",INDEX(K:AK,I102,'Słownik PW'!$A$4))</f>
        <v/>
      </c>
      <c r="X102" s="40" t="s">
        <v>4016</v>
      </c>
    </row>
    <row r="103" spans="2:24" ht="15">
      <c r="B103" s="36" t="str">
        <f t="shared" si="3"/>
        <v/>
      </c>
      <c r="C103" s="1" t="str">
        <f>IF($A$2=1,"",_xlfn.IFERROR(MATCH('Produkcja wytworzona - ilość'!$D$30,'Tabela PW'!A:A,0)+B102,""))</f>
        <v/>
      </c>
      <c r="E103" s="6"/>
      <c r="F103" s="6"/>
      <c r="I103" s="6">
        <v>103</v>
      </c>
      <c r="J103" s="6" t="str">
        <f>IF(INDEX(K:AK,I103,'Słownik PW'!$A$4)=0,"",INDEX(K:AK,I103,'Słownik PW'!$A$4))</f>
        <v/>
      </c>
      <c r="X103" s="40" t="s">
        <v>4017</v>
      </c>
    </row>
    <row r="104" spans="2:24" ht="15">
      <c r="B104" s="36" t="str">
        <f t="shared" si="3"/>
        <v/>
      </c>
      <c r="C104" s="1" t="str">
        <f>IF($A$2=1,"",_xlfn.IFERROR(MATCH('Produkcja wytworzona - ilość'!$D$30,'Tabela PW'!A:A,0)+B103,""))</f>
        <v/>
      </c>
      <c r="E104" s="6"/>
      <c r="F104" s="6"/>
      <c r="I104" s="6">
        <v>104</v>
      </c>
      <c r="J104" s="6" t="str">
        <f>IF(INDEX(K:AK,I104,'Słownik PW'!$A$4)=0,"",INDEX(K:AK,I104,'Słownik PW'!$A$4))</f>
        <v/>
      </c>
      <c r="X104" s="40" t="s">
        <v>4018</v>
      </c>
    </row>
    <row r="105" spans="2:24" ht="15">
      <c r="B105" s="36" t="str">
        <f t="shared" si="3"/>
        <v/>
      </c>
      <c r="C105" s="1" t="str">
        <f>IF($A$2=1,"",_xlfn.IFERROR(MATCH('Produkcja wytworzona - ilość'!$D$30,'Tabela PW'!A:A,0)+B104,""))</f>
        <v/>
      </c>
      <c r="E105" s="6"/>
      <c r="F105" s="6"/>
      <c r="I105" s="6">
        <v>105</v>
      </c>
      <c r="J105" s="6" t="str">
        <f>IF(INDEX(K:AK,I105,'Słownik PW'!$A$4)=0,"",INDEX(K:AK,I105,'Słownik PW'!$A$4))</f>
        <v/>
      </c>
      <c r="X105" s="40" t="s">
        <v>4019</v>
      </c>
    </row>
    <row r="106" spans="2:24" ht="15">
      <c r="B106" s="36" t="str">
        <f t="shared" si="3"/>
        <v/>
      </c>
      <c r="C106" s="1" t="str">
        <f>IF($A$2=1,"",_xlfn.IFERROR(MATCH('Produkcja wytworzona - ilość'!$D$30,'Tabela PW'!A:A,0)+B105,""))</f>
        <v/>
      </c>
      <c r="E106" s="6"/>
      <c r="F106" s="6"/>
      <c r="I106" s="6">
        <v>106</v>
      </c>
      <c r="J106" s="6" t="str">
        <f>IF(INDEX(K:AK,I106,'Słownik PW'!$A$4)=0,"",INDEX(K:AK,I106,'Słownik PW'!$A$4))</f>
        <v/>
      </c>
      <c r="X106" s="40" t="s">
        <v>4020</v>
      </c>
    </row>
    <row r="107" spans="2:24" ht="15">
      <c r="B107" s="36" t="str">
        <f t="shared" si="3"/>
        <v/>
      </c>
      <c r="C107" s="1" t="str">
        <f>IF($A$2=1,"",_xlfn.IFERROR(MATCH('Produkcja wytworzona - ilość'!$D$30,'Tabela PW'!A:A,0)+B106,""))</f>
        <v/>
      </c>
      <c r="E107" s="6"/>
      <c r="F107" s="6"/>
      <c r="I107" s="6">
        <v>107</v>
      </c>
      <c r="J107" s="6" t="str">
        <f>IF(INDEX(K:AK,I107,'Słownik PW'!$A$4)=0,"",INDEX(K:AK,I107,'Słownik PW'!$A$4))</f>
        <v/>
      </c>
      <c r="X107" s="40" t="s">
        <v>4021</v>
      </c>
    </row>
    <row r="108" spans="2:24" ht="15">
      <c r="B108" s="36" t="str">
        <f t="shared" si="3"/>
        <v/>
      </c>
      <c r="C108" s="1" t="str">
        <f>IF($A$2=1,"",_xlfn.IFERROR(MATCH('Produkcja wytworzona - ilość'!$D$30,'Tabela PW'!A:A,0)+B107,""))</f>
        <v/>
      </c>
      <c r="E108" s="6"/>
      <c r="F108" s="6"/>
      <c r="I108" s="6">
        <v>108</v>
      </c>
      <c r="J108" s="6" t="str">
        <f>IF(INDEX(K:AK,I108,'Słownik PW'!$A$4)=0,"",INDEX(K:AK,I108,'Słownik PW'!$A$4))</f>
        <v/>
      </c>
      <c r="X108" s="40" t="s">
        <v>4022</v>
      </c>
    </row>
    <row r="109" spans="2:24" ht="15">
      <c r="B109" s="36" t="str">
        <f t="shared" si="3"/>
        <v/>
      </c>
      <c r="C109" s="1" t="str">
        <f>IF($A$2=1,"",_xlfn.IFERROR(MATCH('Produkcja wytworzona - ilość'!$D$30,'Tabela PW'!A:A,0)+B108,""))</f>
        <v/>
      </c>
      <c r="E109" s="6"/>
      <c r="F109" s="6"/>
      <c r="I109" s="6">
        <v>109</v>
      </c>
      <c r="J109" s="6" t="str">
        <f>IF(INDEX(K:AK,I109,'Słownik PW'!$A$4)=0,"",INDEX(K:AK,I109,'Słownik PW'!$A$4))</f>
        <v/>
      </c>
      <c r="X109" s="40" t="s">
        <v>4023</v>
      </c>
    </row>
    <row r="110" spans="2:24" ht="15">
      <c r="B110" s="36" t="str">
        <f t="shared" si="3"/>
        <v/>
      </c>
      <c r="C110" s="1" t="str">
        <f>IF($A$2=1,"",_xlfn.IFERROR(MATCH('Produkcja wytworzona - ilość'!$D$30,'Tabela PW'!A:A,0)+B109,""))</f>
        <v/>
      </c>
      <c r="E110" s="6"/>
      <c r="F110" s="6"/>
      <c r="I110" s="6">
        <v>110</v>
      </c>
      <c r="J110" s="6" t="str">
        <f>IF(INDEX(K:AK,I110,'Słownik PW'!$A$4)=0,"",INDEX(K:AK,I110,'Słownik PW'!$A$4))</f>
        <v/>
      </c>
      <c r="X110" s="40" t="s">
        <v>4024</v>
      </c>
    </row>
    <row r="111" spans="2:24" ht="15">
      <c r="B111" s="36" t="str">
        <f t="shared" si="3"/>
        <v/>
      </c>
      <c r="C111" s="1" t="str">
        <f>IF($A$2=1,"",_xlfn.IFERROR(MATCH('Produkcja wytworzona - ilość'!$D$30,'Tabela PW'!A:A,0)+B110,""))</f>
        <v/>
      </c>
      <c r="E111" s="6"/>
      <c r="F111" s="6"/>
      <c r="I111" s="6">
        <v>111</v>
      </c>
      <c r="J111" s="6" t="str">
        <f>IF(INDEX(K:AK,I111,'Słownik PW'!$A$4)=0,"",INDEX(K:AK,I111,'Słownik PW'!$A$4))</f>
        <v/>
      </c>
      <c r="X111" s="40" t="s">
        <v>4025</v>
      </c>
    </row>
    <row r="112" spans="2:24" ht="15">
      <c r="B112" s="36" t="str">
        <f t="shared" si="3"/>
        <v/>
      </c>
      <c r="C112" s="1" t="str">
        <f>IF($A$2=1,"",_xlfn.IFERROR(MATCH('Produkcja wytworzona - ilość'!$D$30,'Tabela PW'!A:A,0)+B111,""))</f>
        <v/>
      </c>
      <c r="E112" s="6"/>
      <c r="F112" s="6"/>
      <c r="I112" s="6">
        <v>112</v>
      </c>
      <c r="J112" s="6" t="str">
        <f>IF(INDEX(K:AK,I112,'Słownik PW'!$A$4)=0,"",INDEX(K:AK,I112,'Słownik PW'!$A$4))</f>
        <v/>
      </c>
      <c r="X112" s="40" t="s">
        <v>4026</v>
      </c>
    </row>
    <row r="113" spans="2:24" ht="15">
      <c r="B113" s="36" t="str">
        <f t="shared" si="3"/>
        <v/>
      </c>
      <c r="C113" s="1" t="str">
        <f>IF($A$2=1,"",_xlfn.IFERROR(MATCH('Produkcja wytworzona - ilość'!$D$30,'Tabela PW'!A:A,0)+B112,""))</f>
        <v/>
      </c>
      <c r="E113" s="6"/>
      <c r="F113" s="6"/>
      <c r="I113" s="6">
        <v>113</v>
      </c>
      <c r="J113" s="6" t="str">
        <f>IF(INDEX(K:AK,I113,'Słownik PW'!$A$4)=0,"",INDEX(K:AK,I113,'Słownik PW'!$A$4))</f>
        <v/>
      </c>
      <c r="X113" s="40" t="s">
        <v>4027</v>
      </c>
    </row>
    <row r="114" spans="2:24" ht="15">
      <c r="B114" s="36" t="str">
        <f t="shared" si="3"/>
        <v/>
      </c>
      <c r="C114" s="1" t="str">
        <f>IF($A$2=1,"",_xlfn.IFERROR(MATCH('Produkcja wytworzona - ilość'!$D$30,'Tabela PW'!A:A,0)+B113,""))</f>
        <v/>
      </c>
      <c r="E114" s="6"/>
      <c r="F114" s="6"/>
      <c r="I114" s="6">
        <v>114</v>
      </c>
      <c r="J114" s="6" t="str">
        <f>IF(INDEX(K:AK,I114,'Słownik PW'!$A$4)=0,"",INDEX(K:AK,I114,'Słownik PW'!$A$4))</f>
        <v/>
      </c>
      <c r="X114" s="40" t="s">
        <v>4028</v>
      </c>
    </row>
    <row r="115" spans="2:24" ht="15">
      <c r="B115" s="36" t="str">
        <f t="shared" si="3"/>
        <v/>
      </c>
      <c r="C115" s="1" t="str">
        <f>IF($A$2=1,"",_xlfn.IFERROR(MATCH('Produkcja wytworzona - ilość'!$D$30,'Tabela PW'!A:A,0)+B114,""))</f>
        <v/>
      </c>
      <c r="E115" s="6"/>
      <c r="F115" s="6"/>
      <c r="I115" s="6">
        <v>115</v>
      </c>
      <c r="J115" s="6" t="str">
        <f>IF(INDEX(K:AK,I115,'Słownik PW'!$A$4)=0,"",INDEX(K:AK,I115,'Słownik PW'!$A$4))</f>
        <v/>
      </c>
      <c r="X115" s="40" t="s">
        <v>4029</v>
      </c>
    </row>
    <row r="116" spans="2:24" ht="15">
      <c r="B116" s="36" t="str">
        <f t="shared" si="3"/>
        <v/>
      </c>
      <c r="C116" s="1" t="str">
        <f>IF($A$2=1,"",_xlfn.IFERROR(MATCH('Produkcja wytworzona - ilość'!$D$30,'Tabela PW'!A:A,0)+B115,""))</f>
        <v/>
      </c>
      <c r="E116" s="6"/>
      <c r="F116" s="6"/>
      <c r="I116" s="6">
        <v>116</v>
      </c>
      <c r="J116" s="6" t="str">
        <f>IF(INDEX(K:AK,I116,'Słownik PW'!$A$4)=0,"",INDEX(K:AK,I116,'Słownik PW'!$A$4))</f>
        <v/>
      </c>
      <c r="X116" s="40" t="s">
        <v>4030</v>
      </c>
    </row>
    <row r="117" spans="2:24" ht="15">
      <c r="B117" s="36" t="str">
        <f t="shared" si="3"/>
        <v/>
      </c>
      <c r="C117" s="1" t="str">
        <f>IF($A$2=1,"",_xlfn.IFERROR(MATCH('Produkcja wytworzona - ilość'!$D$30,'Tabela PW'!A:A,0)+B116,""))</f>
        <v/>
      </c>
      <c r="E117" s="6"/>
      <c r="F117" s="6"/>
      <c r="I117" s="6">
        <v>117</v>
      </c>
      <c r="J117" s="6" t="str">
        <f>IF(INDEX(K:AK,I117,'Słownik PW'!$A$4)=0,"",INDEX(K:AK,I117,'Słownik PW'!$A$4))</f>
        <v/>
      </c>
      <c r="X117" s="40" t="s">
        <v>4031</v>
      </c>
    </row>
    <row r="118" spans="2:24" ht="15">
      <c r="B118" s="36" t="str">
        <f t="shared" si="3"/>
        <v/>
      </c>
      <c r="C118" s="1" t="str">
        <f>IF($A$2=1,"",_xlfn.IFERROR(MATCH('Produkcja wytworzona - ilość'!$D$30,'Tabela PW'!A:A,0)+B117,""))</f>
        <v/>
      </c>
      <c r="E118" s="6"/>
      <c r="F118" s="6"/>
      <c r="I118" s="6">
        <v>118</v>
      </c>
      <c r="J118" s="6" t="str">
        <f>IF(INDEX(K:AK,I118,'Słownik PW'!$A$4)=0,"",INDEX(K:AK,I118,'Słownik PW'!$A$4))</f>
        <v/>
      </c>
      <c r="X118" s="40" t="s">
        <v>4032</v>
      </c>
    </row>
    <row r="119" spans="2:24" ht="15">
      <c r="B119" s="36" t="str">
        <f t="shared" si="3"/>
        <v/>
      </c>
      <c r="C119" s="1" t="str">
        <f>IF($A$2=1,"",_xlfn.IFERROR(MATCH('Produkcja wytworzona - ilość'!$D$30,'Tabela PW'!A:A,0)+B118,""))</f>
        <v/>
      </c>
      <c r="E119" s="6"/>
      <c r="F119" s="6"/>
      <c r="I119" s="6">
        <v>119</v>
      </c>
      <c r="J119" s="6" t="str">
        <f>IF(INDEX(K:AK,I119,'Słownik PW'!$A$4)=0,"",INDEX(K:AK,I119,'Słownik PW'!$A$4))</f>
        <v/>
      </c>
      <c r="X119" s="40" t="s">
        <v>4033</v>
      </c>
    </row>
    <row r="120" spans="5:6" ht="15">
      <c r="E120" s="6"/>
      <c r="F120" s="6"/>
    </row>
    <row r="121" spans="5:6" ht="15">
      <c r="E121" s="6"/>
      <c r="F121" s="6"/>
    </row>
    <row r="122" spans="5:6" ht="15">
      <c r="E122" s="6"/>
      <c r="F122" s="6"/>
    </row>
    <row r="123" spans="5:6" ht="15">
      <c r="E123" s="6"/>
      <c r="F123" s="6"/>
    </row>
    <row r="124" spans="5:6" ht="15">
      <c r="E124" s="6"/>
      <c r="F124" s="6"/>
    </row>
    <row r="125" spans="5:6" ht="15">
      <c r="E125" s="6"/>
      <c r="F125" s="6"/>
    </row>
    <row r="126" spans="5:6" ht="15">
      <c r="E126" s="6"/>
      <c r="F126" s="6"/>
    </row>
    <row r="127" spans="5:6" ht="15">
      <c r="E127" s="6"/>
      <c r="F127" s="6"/>
    </row>
    <row r="128" spans="5:6" ht="15">
      <c r="E128" s="6"/>
      <c r="F128" s="6"/>
    </row>
    <row r="129" spans="5:6" ht="15">
      <c r="E129" s="6"/>
      <c r="F129" s="6"/>
    </row>
    <row r="130" spans="5:6" ht="15">
      <c r="E130" s="6"/>
      <c r="F130" s="6"/>
    </row>
    <row r="131" spans="5:6" ht="15">
      <c r="E131" s="6"/>
      <c r="F131" s="6"/>
    </row>
    <row r="132" spans="5:6" ht="15">
      <c r="E132" s="6"/>
      <c r="F132" s="6"/>
    </row>
    <row r="133" spans="5:6" ht="15">
      <c r="E133" s="6"/>
      <c r="F133" s="6"/>
    </row>
    <row r="134" spans="5:6" ht="15">
      <c r="E134" s="6"/>
      <c r="F134" s="6"/>
    </row>
    <row r="135" spans="5:6" ht="15">
      <c r="E135" s="6"/>
      <c r="F135" s="6"/>
    </row>
    <row r="136" spans="5:6" ht="15">
      <c r="E136" s="6"/>
      <c r="F136" s="6"/>
    </row>
    <row r="137" spans="5:6" ht="15">
      <c r="E137" s="6"/>
      <c r="F137" s="6"/>
    </row>
    <row r="138" spans="5:6" ht="15">
      <c r="E138" s="6"/>
      <c r="F138" s="6"/>
    </row>
    <row r="139" spans="5:6" ht="15">
      <c r="E139" s="6"/>
      <c r="F139" s="6"/>
    </row>
    <row r="140" spans="5:6" ht="15">
      <c r="E140" s="6"/>
      <c r="F140" s="6"/>
    </row>
    <row r="141" spans="5:6" ht="15">
      <c r="E141" s="6"/>
      <c r="F141" s="6"/>
    </row>
    <row r="142" spans="5:6" ht="15">
      <c r="E142" s="6"/>
      <c r="F142" s="6"/>
    </row>
    <row r="143" spans="5:6" ht="15">
      <c r="E143" s="6"/>
      <c r="F143" s="6"/>
    </row>
    <row r="144" spans="5:6" ht="15">
      <c r="E144" s="6"/>
      <c r="F144" s="6"/>
    </row>
    <row r="145" spans="5:6" ht="15">
      <c r="E145" s="6"/>
      <c r="F145" s="6"/>
    </row>
    <row r="146" spans="5:6" ht="15">
      <c r="E146" s="6"/>
      <c r="F146" s="6"/>
    </row>
    <row r="147" spans="5:6" ht="15">
      <c r="E147" s="6"/>
      <c r="F147" s="6"/>
    </row>
    <row r="148" spans="5:6" ht="15">
      <c r="E148" s="6"/>
      <c r="F148" s="6"/>
    </row>
    <row r="149" spans="5:6" ht="15">
      <c r="E149" s="6"/>
      <c r="F149" s="6"/>
    </row>
    <row r="150" spans="5:6" ht="15">
      <c r="E150" s="6"/>
      <c r="F150" s="6"/>
    </row>
    <row r="151" spans="5:6" ht="15">
      <c r="E151" s="6"/>
      <c r="F151" s="6"/>
    </row>
    <row r="152" spans="5:6" ht="15">
      <c r="E152" s="6"/>
      <c r="F152" s="6"/>
    </row>
    <row r="153" spans="5:6" ht="15">
      <c r="E153" s="6"/>
      <c r="F153" s="6"/>
    </row>
    <row r="154" spans="5:6" ht="15">
      <c r="E154" s="6"/>
      <c r="F154" s="6"/>
    </row>
    <row r="155" spans="5:6" ht="15">
      <c r="E155" s="6"/>
      <c r="F155" s="6"/>
    </row>
    <row r="156" spans="5:6" ht="15">
      <c r="E156" s="6"/>
      <c r="F156" s="6"/>
    </row>
    <row r="157" spans="5:6" ht="15">
      <c r="E157" s="6"/>
      <c r="F157" s="6"/>
    </row>
    <row r="158" spans="5:6" ht="15">
      <c r="E158" s="6"/>
      <c r="F158" s="6"/>
    </row>
    <row r="159" spans="5:6" ht="15">
      <c r="E159" s="6"/>
      <c r="F159" s="6"/>
    </row>
    <row r="160" spans="5:6" ht="15">
      <c r="E160" s="6"/>
      <c r="F160" s="6"/>
    </row>
    <row r="161" spans="5:6" ht="15">
      <c r="E161" s="6"/>
      <c r="F161" s="6"/>
    </row>
    <row r="162" spans="5:6" ht="15">
      <c r="E162" s="6"/>
      <c r="F162" s="6"/>
    </row>
    <row r="163" spans="5:6" ht="15">
      <c r="E163" s="6"/>
      <c r="F163" s="6"/>
    </row>
    <row r="164" spans="5:6" ht="15">
      <c r="E164" s="6"/>
      <c r="F164" s="6"/>
    </row>
    <row r="165" spans="5:6" ht="15">
      <c r="E165" s="6"/>
      <c r="F165" s="6"/>
    </row>
    <row r="166" spans="5:6" ht="15">
      <c r="E166" s="6"/>
      <c r="F166" s="6"/>
    </row>
    <row r="167" spans="5:6" ht="15">
      <c r="E167" s="6"/>
      <c r="F167" s="6"/>
    </row>
    <row r="168" spans="5:6" ht="15">
      <c r="E168" s="6"/>
      <c r="F168" s="6"/>
    </row>
    <row r="169" spans="5:6" ht="15">
      <c r="E169" s="6"/>
      <c r="F169" s="6"/>
    </row>
    <row r="170" spans="5:6" ht="15">
      <c r="E170" s="6"/>
      <c r="F170" s="6"/>
    </row>
    <row r="171" spans="5:6" ht="15">
      <c r="E171" s="6"/>
      <c r="F171" s="6"/>
    </row>
    <row r="172" spans="5:6" ht="15">
      <c r="E172" s="6"/>
      <c r="F172" s="6"/>
    </row>
    <row r="173" spans="5:6" ht="15">
      <c r="E173" s="6"/>
      <c r="F173" s="6"/>
    </row>
    <row r="174" spans="5:6" ht="15">
      <c r="E174" s="6"/>
      <c r="F174" s="6"/>
    </row>
    <row r="175" spans="5:6" ht="15">
      <c r="E175" s="6"/>
      <c r="F175" s="6"/>
    </row>
    <row r="176" spans="5:6" ht="15">
      <c r="E176" s="6"/>
      <c r="F176" s="6"/>
    </row>
    <row r="177" spans="5:6" ht="15">
      <c r="E177" s="6"/>
      <c r="F177" s="6"/>
    </row>
    <row r="178" spans="5:6" ht="15">
      <c r="E178" s="6"/>
      <c r="F178" s="6"/>
    </row>
    <row r="179" spans="5:6" ht="15">
      <c r="E179" s="6"/>
      <c r="F179" s="6"/>
    </row>
    <row r="180" spans="5:6" ht="15">
      <c r="E180" s="6"/>
      <c r="F180" s="6"/>
    </row>
    <row r="181" spans="5:6" ht="15">
      <c r="E181" s="6"/>
      <c r="F181" s="6"/>
    </row>
    <row r="182" spans="5:6" ht="15">
      <c r="E182" s="6"/>
      <c r="F182" s="6"/>
    </row>
    <row r="183" spans="5:6" ht="15">
      <c r="E183" s="6"/>
      <c r="F183" s="6"/>
    </row>
    <row r="184" spans="5:6" ht="15">
      <c r="E184" s="6"/>
      <c r="F184" s="6"/>
    </row>
    <row r="185" spans="5:6" ht="15">
      <c r="E185" s="6"/>
      <c r="F185" s="6"/>
    </row>
    <row r="186" spans="5:6" ht="15">
      <c r="E186" s="6"/>
      <c r="F186" s="6"/>
    </row>
    <row r="187" spans="5:6" ht="15">
      <c r="E187" s="6"/>
      <c r="F187" s="6"/>
    </row>
    <row r="188" spans="5:6" ht="15">
      <c r="E188" s="6"/>
      <c r="F188" s="6"/>
    </row>
    <row r="189" spans="5:6" ht="15">
      <c r="E189" s="6"/>
      <c r="F189" s="6"/>
    </row>
    <row r="190" spans="5:6" ht="15">
      <c r="E190" s="6"/>
      <c r="F190" s="6"/>
    </row>
    <row r="191" spans="5:6" ht="15">
      <c r="E191" s="6"/>
      <c r="F191" s="6"/>
    </row>
    <row r="192" spans="5:6" ht="15">
      <c r="E192" s="6"/>
      <c r="F192" s="6"/>
    </row>
    <row r="193" spans="5:6" ht="15">
      <c r="E193" s="6"/>
      <c r="F193" s="6"/>
    </row>
    <row r="194" spans="5:6" ht="15">
      <c r="E194" s="6"/>
      <c r="F194" s="6"/>
    </row>
    <row r="195" spans="5:6" ht="15">
      <c r="E195" s="6"/>
      <c r="F195" s="6"/>
    </row>
    <row r="196" spans="5:6" ht="15">
      <c r="E196" s="6"/>
      <c r="F196" s="6"/>
    </row>
    <row r="197" spans="5:6" ht="15">
      <c r="E197" s="6"/>
      <c r="F197" s="6"/>
    </row>
    <row r="198" spans="5:6" ht="15">
      <c r="E198" s="6"/>
      <c r="F198" s="6"/>
    </row>
    <row r="199" spans="5:6" ht="15">
      <c r="E199" s="6"/>
      <c r="F199" s="6"/>
    </row>
    <row r="200" spans="5:6" ht="15">
      <c r="E200" s="6"/>
      <c r="F200" s="6"/>
    </row>
    <row r="201" spans="5:6" ht="15">
      <c r="E201" s="6"/>
      <c r="F201" s="6"/>
    </row>
    <row r="202" spans="5:6" ht="15">
      <c r="E202" s="6"/>
      <c r="F202" s="6"/>
    </row>
    <row r="203" spans="5:6" ht="15">
      <c r="E203" s="6"/>
      <c r="F203" s="6"/>
    </row>
    <row r="204" spans="5:6" ht="15">
      <c r="E204" s="6"/>
      <c r="F204" s="6"/>
    </row>
    <row r="205" spans="5:6" ht="15">
      <c r="E205" s="6"/>
      <c r="F205" s="6"/>
    </row>
    <row r="206" spans="5:6" ht="15">
      <c r="E206" s="6"/>
      <c r="F206" s="6"/>
    </row>
    <row r="207" spans="5:6" ht="15">
      <c r="E207" s="6"/>
      <c r="F207" s="6"/>
    </row>
    <row r="208" spans="5:6" ht="15">
      <c r="E208" s="6"/>
      <c r="F208" s="6"/>
    </row>
    <row r="209" spans="5:6" ht="15">
      <c r="E209" s="6"/>
      <c r="F209" s="6"/>
    </row>
    <row r="210" spans="5:6" ht="15">
      <c r="E210" s="6"/>
      <c r="F210" s="6"/>
    </row>
    <row r="211" spans="5:6" ht="15">
      <c r="E211" s="6"/>
      <c r="F211" s="6"/>
    </row>
    <row r="212" spans="5:6" ht="15">
      <c r="E212" s="6"/>
      <c r="F212" s="6"/>
    </row>
    <row r="213" spans="5:6" ht="15">
      <c r="E213" s="6"/>
      <c r="F213" s="6"/>
    </row>
    <row r="214" spans="5:6" ht="15">
      <c r="E214" s="6"/>
      <c r="F214" s="6"/>
    </row>
    <row r="215" spans="5:6" ht="15">
      <c r="E215" s="6"/>
      <c r="F215" s="6"/>
    </row>
    <row r="216" spans="5:6" ht="15">
      <c r="E216" s="6"/>
      <c r="F216" s="6"/>
    </row>
    <row r="217" spans="5:6" ht="15">
      <c r="E217" s="6"/>
      <c r="F217" s="6"/>
    </row>
    <row r="218" spans="5:6" ht="15">
      <c r="E218" s="6"/>
      <c r="F218" s="6"/>
    </row>
    <row r="219" spans="5:6" ht="15">
      <c r="E219" s="6"/>
      <c r="F219" s="6"/>
    </row>
    <row r="220" spans="5:6" ht="15">
      <c r="E220" s="6"/>
      <c r="F220" s="6"/>
    </row>
    <row r="221" spans="5:6" ht="15">
      <c r="E221" s="6"/>
      <c r="F221" s="6"/>
    </row>
    <row r="222" spans="5:6" ht="15">
      <c r="E222" s="6"/>
      <c r="F222" s="6"/>
    </row>
    <row r="223" spans="5:6" ht="15">
      <c r="E223" s="6"/>
      <c r="F223" s="6"/>
    </row>
    <row r="224" spans="5:6" ht="15">
      <c r="E224" s="6"/>
      <c r="F224" s="6"/>
    </row>
    <row r="225" spans="5:6" ht="15">
      <c r="E225" s="6"/>
      <c r="F225" s="6"/>
    </row>
    <row r="226" spans="5:6" ht="15">
      <c r="E226" s="6"/>
      <c r="F226" s="6"/>
    </row>
    <row r="227" spans="5:6" ht="15">
      <c r="E227" s="6"/>
      <c r="F227" s="6"/>
    </row>
    <row r="228" spans="5:6" ht="15">
      <c r="E228" s="6"/>
      <c r="F228" s="6"/>
    </row>
    <row r="229" spans="5:6" ht="15">
      <c r="E229" s="6"/>
      <c r="F229" s="6"/>
    </row>
    <row r="230" spans="5:6" ht="15">
      <c r="E230" s="6"/>
      <c r="F230" s="6"/>
    </row>
    <row r="231" spans="5:6" ht="15">
      <c r="E231" s="6"/>
      <c r="F231" s="6"/>
    </row>
    <row r="232" spans="5:6" ht="15">
      <c r="E232" s="6"/>
      <c r="F232" s="6"/>
    </row>
    <row r="233" spans="5:6" ht="15">
      <c r="E233" s="6"/>
      <c r="F233" s="6"/>
    </row>
    <row r="234" spans="5:6" ht="15">
      <c r="E234" s="6"/>
      <c r="F234" s="6"/>
    </row>
    <row r="235" spans="5:6" ht="15">
      <c r="E235" s="6"/>
      <c r="F235" s="6"/>
    </row>
    <row r="236" spans="5:6" ht="15">
      <c r="E236" s="6"/>
      <c r="F236" s="6"/>
    </row>
    <row r="237" spans="5:6" ht="15">
      <c r="E237" s="6"/>
      <c r="F237" s="6"/>
    </row>
    <row r="238" spans="5:6" ht="15">
      <c r="E238" s="6"/>
      <c r="F238" s="6"/>
    </row>
    <row r="239" spans="5:6" ht="15">
      <c r="E239" s="6"/>
      <c r="F239" s="6"/>
    </row>
    <row r="240" spans="5:6" ht="15">
      <c r="E240" s="6"/>
      <c r="F240" s="6"/>
    </row>
    <row r="241" spans="5:6" ht="15">
      <c r="E241" s="6"/>
      <c r="F241" s="6"/>
    </row>
    <row r="242" spans="5:6" ht="15">
      <c r="E242" s="6"/>
      <c r="F242" s="6"/>
    </row>
    <row r="243" spans="5:6" ht="15">
      <c r="E243" s="6"/>
      <c r="F243" s="6"/>
    </row>
    <row r="244" spans="5:6" ht="15">
      <c r="E244" s="6"/>
      <c r="F244" s="6"/>
    </row>
    <row r="245" spans="5:6" ht="15">
      <c r="E245" s="6"/>
      <c r="F245" s="6"/>
    </row>
    <row r="246" spans="5:6" ht="15">
      <c r="E246" s="6"/>
      <c r="F246" s="6"/>
    </row>
    <row r="247" spans="5:6" ht="15">
      <c r="E247" s="6"/>
      <c r="F247" s="6"/>
    </row>
    <row r="248" spans="5:6" ht="15">
      <c r="E248" s="6"/>
      <c r="F248" s="6"/>
    </row>
    <row r="249" spans="5:6" ht="15">
      <c r="E249" s="6"/>
      <c r="F249" s="6"/>
    </row>
    <row r="250" spans="5:6" ht="15">
      <c r="E250" s="6"/>
      <c r="F250" s="6"/>
    </row>
    <row r="251" spans="5:6" ht="15">
      <c r="E251" s="6"/>
      <c r="F251" s="6"/>
    </row>
    <row r="252" spans="5:6" ht="15">
      <c r="E252" s="6"/>
      <c r="F252" s="6"/>
    </row>
    <row r="253" spans="5:6" ht="15">
      <c r="E253" s="6"/>
      <c r="F253" s="6"/>
    </row>
    <row r="254" spans="5:6" ht="15">
      <c r="E254" s="6"/>
      <c r="F254" s="6"/>
    </row>
    <row r="255" spans="5:6" ht="15">
      <c r="E255" s="6"/>
      <c r="F255" s="6"/>
    </row>
    <row r="256" spans="5:6" ht="15">
      <c r="E256" s="6"/>
      <c r="F256" s="6"/>
    </row>
    <row r="257" spans="5:6" ht="15">
      <c r="E257" s="6"/>
      <c r="F257" s="6"/>
    </row>
    <row r="258" spans="5:6" ht="15">
      <c r="E258" s="6"/>
      <c r="F258" s="6"/>
    </row>
    <row r="259" spans="5:6" ht="15">
      <c r="E259" s="6"/>
      <c r="F259" s="6"/>
    </row>
    <row r="260" spans="5:6" ht="15">
      <c r="E260" s="6"/>
      <c r="F260" s="6"/>
    </row>
    <row r="261" spans="5:6" ht="15">
      <c r="E261" s="6"/>
      <c r="F261" s="6"/>
    </row>
    <row r="262" spans="5:6" ht="15">
      <c r="E262" s="6"/>
      <c r="F262" s="6"/>
    </row>
    <row r="263" spans="5:6" ht="15">
      <c r="E263" s="6"/>
      <c r="F263" s="6"/>
    </row>
    <row r="264" spans="5:6" ht="15">
      <c r="E264" s="6"/>
      <c r="F264" s="6"/>
    </row>
    <row r="265" spans="5:6" ht="15">
      <c r="E265" s="6"/>
      <c r="F265" s="6"/>
    </row>
    <row r="266" spans="5:6" ht="15">
      <c r="E266" s="6"/>
      <c r="F266" s="6"/>
    </row>
    <row r="267" spans="5:6" ht="15">
      <c r="E267" s="6"/>
      <c r="F267" s="6"/>
    </row>
    <row r="268" spans="5:6" ht="15">
      <c r="E268" s="6"/>
      <c r="F268" s="6"/>
    </row>
    <row r="269" spans="5:6" ht="15">
      <c r="E269" s="6"/>
      <c r="F269" s="6"/>
    </row>
    <row r="270" spans="5:6" ht="15">
      <c r="E270" s="6"/>
      <c r="F270" s="6"/>
    </row>
    <row r="271" spans="5:6" ht="15">
      <c r="E271" s="6"/>
      <c r="F271" s="6"/>
    </row>
    <row r="272" spans="5:6" ht="15">
      <c r="E272" s="6"/>
      <c r="F272" s="6"/>
    </row>
    <row r="273" spans="5:6" ht="15">
      <c r="E273" s="6"/>
      <c r="F273" s="6"/>
    </row>
    <row r="274" spans="5:6" ht="15">
      <c r="E274" s="6"/>
      <c r="F274" s="6"/>
    </row>
    <row r="275" spans="5:6" ht="15">
      <c r="E275" s="6"/>
      <c r="F275" s="6"/>
    </row>
    <row r="276" spans="5:6" ht="15">
      <c r="E276" s="6"/>
      <c r="F276" s="6"/>
    </row>
    <row r="277" spans="5:6" ht="15">
      <c r="E277" s="6"/>
      <c r="F277" s="6"/>
    </row>
    <row r="278" spans="5:6" ht="15">
      <c r="E278" s="6"/>
      <c r="F278" s="6"/>
    </row>
    <row r="279" spans="5:6" ht="15">
      <c r="E279" s="6"/>
      <c r="F279" s="6"/>
    </row>
    <row r="280" spans="5:6" ht="15">
      <c r="E280" s="6"/>
      <c r="F280" s="6"/>
    </row>
    <row r="281" spans="5:6" ht="15">
      <c r="E281" s="6"/>
      <c r="F281" s="6"/>
    </row>
    <row r="282" spans="5:6" ht="15">
      <c r="E282" s="6"/>
      <c r="F282" s="6"/>
    </row>
    <row r="283" spans="5:6" ht="15">
      <c r="E283" s="6"/>
      <c r="F283" s="6"/>
    </row>
    <row r="284" spans="5:6" ht="15">
      <c r="E284" s="6"/>
      <c r="F284" s="6"/>
    </row>
    <row r="285" spans="5:6" ht="15">
      <c r="E285" s="6"/>
      <c r="F285" s="6"/>
    </row>
    <row r="286" spans="5:6" ht="15">
      <c r="E286" s="6"/>
      <c r="F286" s="6"/>
    </row>
    <row r="287" spans="5:6" ht="15">
      <c r="E287" s="6"/>
      <c r="F287" s="6"/>
    </row>
    <row r="288" spans="5:6" ht="15">
      <c r="E288" s="6"/>
      <c r="F288" s="6"/>
    </row>
    <row r="289" spans="5:6" ht="15">
      <c r="E289" s="6"/>
      <c r="F289" s="6"/>
    </row>
    <row r="290" spans="5:6" ht="15">
      <c r="E290" s="6"/>
      <c r="F290" s="6"/>
    </row>
    <row r="291" spans="5:6" ht="15">
      <c r="E291" s="6"/>
      <c r="F291" s="6"/>
    </row>
    <row r="292" spans="5:6" ht="15">
      <c r="E292" s="6"/>
      <c r="F292" s="6"/>
    </row>
    <row r="293" spans="5:6" ht="15">
      <c r="E293" s="6"/>
      <c r="F293" s="6"/>
    </row>
    <row r="294" spans="5:6" ht="15">
      <c r="E294" s="6"/>
      <c r="F294" s="6"/>
    </row>
    <row r="295" spans="5:6" ht="15">
      <c r="E295" s="6"/>
      <c r="F295" s="6"/>
    </row>
    <row r="296" spans="5:6" ht="15">
      <c r="E296" s="6"/>
      <c r="F296" s="6"/>
    </row>
    <row r="297" spans="5:6" ht="15">
      <c r="E297" s="6"/>
      <c r="F297" s="6"/>
    </row>
    <row r="298" spans="5:6" ht="15">
      <c r="E298" s="6"/>
      <c r="F298" s="6"/>
    </row>
    <row r="299" spans="5:6" ht="15">
      <c r="E299" s="6"/>
      <c r="F299" s="6"/>
    </row>
    <row r="300" spans="5:6" ht="15">
      <c r="E300" s="6"/>
      <c r="F300" s="6"/>
    </row>
    <row r="301" spans="5:6" ht="15">
      <c r="E301" s="6"/>
      <c r="F301" s="6"/>
    </row>
    <row r="302" spans="5:6" ht="15">
      <c r="E302" s="6"/>
      <c r="F302" s="6"/>
    </row>
    <row r="303" spans="5:6" ht="15">
      <c r="E303" s="6"/>
      <c r="F303" s="6"/>
    </row>
    <row r="304" spans="5:6" ht="15">
      <c r="E304" s="6"/>
      <c r="F304" s="6"/>
    </row>
    <row r="305" spans="5:6" ht="15">
      <c r="E305" s="6"/>
      <c r="F305" s="6"/>
    </row>
    <row r="306" spans="5:6" ht="15">
      <c r="E306" s="6"/>
      <c r="F306" s="6"/>
    </row>
    <row r="307" spans="5:6" ht="15">
      <c r="E307" s="6"/>
      <c r="F307" s="6"/>
    </row>
    <row r="308" spans="5:6" ht="15">
      <c r="E308" s="6"/>
      <c r="F308" s="6"/>
    </row>
    <row r="309" spans="5:6" ht="15">
      <c r="E309" s="6"/>
      <c r="F309" s="6"/>
    </row>
    <row r="310" spans="5:6" ht="15">
      <c r="E310" s="6"/>
      <c r="F310" s="6"/>
    </row>
    <row r="311" spans="5:6" ht="15">
      <c r="E311" s="6"/>
      <c r="F311" s="6"/>
    </row>
    <row r="312" spans="5:6" ht="15">
      <c r="E312" s="6"/>
      <c r="F312" s="6"/>
    </row>
    <row r="313" spans="5:6" ht="15">
      <c r="E313" s="6"/>
      <c r="F313" s="6"/>
    </row>
    <row r="314" spans="5:6" ht="15">
      <c r="E314" s="6"/>
      <c r="F314" s="6"/>
    </row>
    <row r="315" spans="5:6" ht="15">
      <c r="E315" s="6"/>
      <c r="F315" s="6"/>
    </row>
    <row r="316" spans="5:6" ht="15">
      <c r="E316" s="6"/>
      <c r="F316" s="6"/>
    </row>
    <row r="317" spans="5:6" ht="15">
      <c r="E317" s="6"/>
      <c r="F317" s="6"/>
    </row>
    <row r="318" spans="5:6" ht="15">
      <c r="E318" s="6"/>
      <c r="F318" s="6"/>
    </row>
    <row r="319" spans="5:6" ht="15">
      <c r="E319" s="6"/>
      <c r="F319" s="6"/>
    </row>
    <row r="320" spans="5:6" ht="15">
      <c r="E320" s="6"/>
      <c r="F320" s="6"/>
    </row>
    <row r="321" spans="5:6" ht="15">
      <c r="E321" s="6"/>
      <c r="F321" s="6"/>
    </row>
    <row r="322" spans="5:6" ht="15">
      <c r="E322" s="6"/>
      <c r="F322" s="6"/>
    </row>
    <row r="323" spans="5:6" ht="15">
      <c r="E323" s="6"/>
      <c r="F323" s="6"/>
    </row>
    <row r="324" spans="5:6" ht="15">
      <c r="E324" s="6"/>
      <c r="F324" s="6"/>
    </row>
    <row r="325" spans="5:6" ht="15">
      <c r="E325" s="6"/>
      <c r="F325" s="6"/>
    </row>
    <row r="326" spans="5:6" ht="15">
      <c r="E326" s="6"/>
      <c r="F326" s="6"/>
    </row>
    <row r="327" spans="5:6" ht="15">
      <c r="E327" s="6"/>
      <c r="F327" s="6"/>
    </row>
    <row r="328" spans="5:6" ht="15">
      <c r="E328" s="6"/>
      <c r="F328" s="6"/>
    </row>
    <row r="329" spans="5:6" ht="15">
      <c r="E329" s="6"/>
      <c r="F329" s="6"/>
    </row>
    <row r="330" spans="5:6" ht="15">
      <c r="E330" s="6"/>
      <c r="F330" s="6"/>
    </row>
    <row r="331" spans="5:6" ht="15">
      <c r="E331" s="6"/>
      <c r="F331" s="6"/>
    </row>
    <row r="332" spans="5:6" ht="15">
      <c r="E332" s="6"/>
      <c r="F332" s="6"/>
    </row>
    <row r="333" spans="5:6" ht="15">
      <c r="E333" s="6"/>
      <c r="F333" s="6"/>
    </row>
    <row r="334" spans="5:6" ht="15">
      <c r="E334" s="6"/>
      <c r="F334" s="6"/>
    </row>
    <row r="335" spans="5:6" ht="15">
      <c r="E335" s="6"/>
      <c r="F335" s="6"/>
    </row>
    <row r="336" spans="5:6" ht="15">
      <c r="E336" s="6"/>
      <c r="F336" s="6"/>
    </row>
    <row r="337" spans="5:6" ht="15">
      <c r="E337" s="6"/>
      <c r="F337" s="6"/>
    </row>
    <row r="338" spans="5:6" ht="15">
      <c r="E338" s="6"/>
      <c r="F338" s="6"/>
    </row>
    <row r="339" spans="5:6" ht="15">
      <c r="E339" s="6"/>
      <c r="F339" s="6"/>
    </row>
    <row r="340" spans="5:6" ht="15">
      <c r="E340" s="6"/>
      <c r="F340" s="6"/>
    </row>
    <row r="341" spans="5:6" ht="15">
      <c r="E341" s="6"/>
      <c r="F341" s="6"/>
    </row>
    <row r="342" spans="5:6" ht="15">
      <c r="E342" s="6"/>
      <c r="F342" s="6"/>
    </row>
    <row r="343" spans="5:6" ht="15">
      <c r="E343" s="6"/>
      <c r="F343" s="6"/>
    </row>
    <row r="344" spans="5:6" ht="15">
      <c r="E344" s="6"/>
      <c r="F344" s="6"/>
    </row>
    <row r="345" spans="5:6" ht="15">
      <c r="E345" s="6"/>
      <c r="F345" s="6"/>
    </row>
    <row r="346" spans="5:6" ht="15">
      <c r="E346" s="6"/>
      <c r="F346" s="6"/>
    </row>
    <row r="347" spans="5:6" ht="15">
      <c r="E347" s="6"/>
      <c r="F347" s="6"/>
    </row>
    <row r="348" spans="5:6" ht="15">
      <c r="E348" s="6"/>
      <c r="F348" s="6"/>
    </row>
    <row r="349" spans="5:6" ht="15">
      <c r="E349" s="6"/>
      <c r="F349" s="6"/>
    </row>
    <row r="350" spans="5:6" ht="15">
      <c r="E350" s="6"/>
      <c r="F350" s="6"/>
    </row>
    <row r="351" spans="5:6" ht="15">
      <c r="E351" s="6"/>
      <c r="F351" s="6"/>
    </row>
    <row r="352" spans="5:6" ht="15">
      <c r="E352" s="6"/>
      <c r="F352" s="6"/>
    </row>
    <row r="353" spans="5:6" ht="15">
      <c r="E353" s="6"/>
      <c r="F353" s="6"/>
    </row>
    <row r="354" spans="5:6" ht="15">
      <c r="E354" s="6"/>
      <c r="F354" s="6"/>
    </row>
    <row r="355" spans="5:6" ht="15">
      <c r="E355" s="6"/>
      <c r="F355" s="6"/>
    </row>
    <row r="356" spans="5:6" ht="15">
      <c r="E356" s="6"/>
      <c r="F356" s="6"/>
    </row>
    <row r="357" spans="5:6" ht="15">
      <c r="E357" s="6"/>
      <c r="F357" s="6"/>
    </row>
    <row r="358" spans="5:6" ht="15">
      <c r="E358" s="6"/>
      <c r="F358" s="6"/>
    </row>
    <row r="359" spans="5:6" ht="15">
      <c r="E359" s="6"/>
      <c r="F359" s="6"/>
    </row>
    <row r="360" spans="5:6" ht="15">
      <c r="E360" s="6"/>
      <c r="F360" s="6"/>
    </row>
    <row r="361" spans="5:6" ht="15">
      <c r="E361" s="6"/>
      <c r="F361" s="6"/>
    </row>
    <row r="362" spans="5:6" ht="15">
      <c r="E362" s="6"/>
      <c r="F362" s="6"/>
    </row>
    <row r="363" spans="5:6" ht="15">
      <c r="E363" s="6"/>
      <c r="F363" s="6"/>
    </row>
    <row r="364" spans="5:6" ht="15">
      <c r="E364" s="6"/>
      <c r="F364" s="6"/>
    </row>
    <row r="365" spans="5:6" ht="15">
      <c r="E365" s="6"/>
      <c r="F365" s="6"/>
    </row>
    <row r="366" spans="5:6" ht="15">
      <c r="E366" s="6"/>
      <c r="F366" s="6"/>
    </row>
    <row r="367" spans="5:6" ht="15">
      <c r="E367" s="6"/>
      <c r="F367" s="6"/>
    </row>
    <row r="368" spans="5:6" ht="15">
      <c r="E368" s="6"/>
      <c r="F368" s="6"/>
    </row>
    <row r="369" spans="5:6" ht="15">
      <c r="E369" s="6"/>
      <c r="F369" s="6"/>
    </row>
    <row r="370" spans="5:6" ht="15">
      <c r="E370" s="6"/>
      <c r="F370" s="6"/>
    </row>
    <row r="371" spans="5:6" ht="15">
      <c r="E371" s="6"/>
      <c r="F371" s="6"/>
    </row>
    <row r="372" spans="5:6" ht="15">
      <c r="E372" s="6"/>
      <c r="F372" s="6"/>
    </row>
    <row r="373" spans="5:6" ht="15">
      <c r="E373" s="6"/>
      <c r="F373" s="6"/>
    </row>
    <row r="374" spans="5:6" ht="15">
      <c r="E374" s="6"/>
      <c r="F374" s="6"/>
    </row>
    <row r="375" spans="5:6" ht="15">
      <c r="E375" s="6"/>
      <c r="F375" s="6"/>
    </row>
    <row r="376" spans="5:6" ht="15">
      <c r="E376" s="6"/>
      <c r="F376" s="6"/>
    </row>
    <row r="377" spans="5:6" ht="15">
      <c r="E377" s="6"/>
      <c r="F377" s="6"/>
    </row>
    <row r="378" spans="5:6" ht="15">
      <c r="E378" s="6"/>
      <c r="F378" s="6"/>
    </row>
    <row r="379" spans="5:6" ht="15">
      <c r="E379" s="6"/>
      <c r="F379" s="6"/>
    </row>
    <row r="380" spans="5:6" ht="15">
      <c r="E380" s="6"/>
      <c r="F380" s="6"/>
    </row>
    <row r="381" spans="5:6" ht="15">
      <c r="E381" s="6"/>
      <c r="F381" s="6"/>
    </row>
    <row r="382" spans="5:6" ht="15">
      <c r="E382" s="6"/>
      <c r="F382" s="6"/>
    </row>
    <row r="383" spans="5:6" ht="15">
      <c r="E383" s="6"/>
      <c r="F383" s="6"/>
    </row>
    <row r="384" spans="5:6" ht="15">
      <c r="E384" s="6"/>
      <c r="F384" s="6"/>
    </row>
    <row r="385" spans="5:6" ht="15">
      <c r="E385" s="6"/>
      <c r="F385" s="6"/>
    </row>
    <row r="386" spans="5:6" ht="15">
      <c r="E386" s="6"/>
      <c r="F386" s="6"/>
    </row>
    <row r="387" spans="5:6" ht="15">
      <c r="E387" s="6"/>
      <c r="F387" s="6"/>
    </row>
    <row r="388" spans="5:6" ht="15">
      <c r="E388" s="6"/>
      <c r="F388" s="6"/>
    </row>
    <row r="389" spans="5:6" ht="15">
      <c r="E389" s="6"/>
      <c r="F389" s="6"/>
    </row>
    <row r="390" spans="5:6" ht="15">
      <c r="E390" s="6"/>
      <c r="F390" s="6"/>
    </row>
    <row r="391" spans="5:6" ht="15">
      <c r="E391" s="6"/>
      <c r="F391" s="6"/>
    </row>
    <row r="392" spans="5:6" ht="15">
      <c r="E392" s="6"/>
      <c r="F392" s="6"/>
    </row>
    <row r="393" spans="5:6" ht="15">
      <c r="E393" s="6"/>
      <c r="F393" s="6"/>
    </row>
    <row r="394" spans="5:6" ht="15">
      <c r="E394" s="6"/>
      <c r="F394" s="6"/>
    </row>
    <row r="395" spans="5:6" ht="15">
      <c r="E395" s="6"/>
      <c r="F395" s="6"/>
    </row>
    <row r="396" spans="5:6" ht="15">
      <c r="E396" s="6"/>
      <c r="F396" s="6"/>
    </row>
    <row r="397" spans="5:6" ht="15">
      <c r="E397" s="6"/>
      <c r="F397" s="6"/>
    </row>
    <row r="398" spans="5:6" ht="15">
      <c r="E398" s="6"/>
      <c r="F398" s="6"/>
    </row>
    <row r="399" spans="5:6" ht="15">
      <c r="E399" s="6"/>
      <c r="F399" s="6"/>
    </row>
    <row r="400" spans="5:6" ht="15">
      <c r="E400" s="6"/>
      <c r="F400" s="6"/>
    </row>
    <row r="401" spans="5:6" ht="15">
      <c r="E401" s="6"/>
      <c r="F401" s="6"/>
    </row>
    <row r="402" spans="5:6" ht="15">
      <c r="E402" s="6"/>
      <c r="F402" s="6"/>
    </row>
    <row r="403" spans="5:6" ht="15">
      <c r="E403" s="6"/>
      <c r="F403" s="6"/>
    </row>
    <row r="404" spans="5:6" ht="15">
      <c r="E404" s="6"/>
      <c r="F404" s="6"/>
    </row>
    <row r="405" spans="5:6" ht="15">
      <c r="E405" s="6"/>
      <c r="F405" s="6"/>
    </row>
    <row r="406" spans="5:6" ht="15">
      <c r="E406" s="6"/>
      <c r="F406" s="6"/>
    </row>
    <row r="407" spans="5:6" ht="15">
      <c r="E407" s="6"/>
      <c r="F407" s="6"/>
    </row>
    <row r="408" spans="5:6" ht="15">
      <c r="E408" s="6"/>
      <c r="F408" s="6"/>
    </row>
    <row r="409" spans="5:6" ht="15">
      <c r="E409" s="6"/>
      <c r="F409" s="6"/>
    </row>
    <row r="410" spans="5:6" ht="15">
      <c r="E410" s="6"/>
      <c r="F410" s="6"/>
    </row>
    <row r="411" spans="5:6" ht="15">
      <c r="E411" s="6"/>
      <c r="F411" s="6"/>
    </row>
    <row r="412" spans="5:6" ht="15">
      <c r="E412" s="6"/>
      <c r="F412" s="6"/>
    </row>
    <row r="413" spans="5:6" ht="15">
      <c r="E413" s="6"/>
      <c r="F413" s="6"/>
    </row>
    <row r="414" spans="5:6" ht="15">
      <c r="E414" s="6"/>
      <c r="F414" s="6"/>
    </row>
    <row r="415" spans="5:6" ht="15">
      <c r="E415" s="6"/>
      <c r="F415" s="6"/>
    </row>
    <row r="416" spans="5:6" ht="15">
      <c r="E416" s="6"/>
      <c r="F416" s="6"/>
    </row>
    <row r="417" spans="5:6" ht="15">
      <c r="E417" s="6"/>
      <c r="F417" s="6"/>
    </row>
    <row r="418" spans="5:6" ht="15">
      <c r="E418" s="6"/>
      <c r="F418" s="6"/>
    </row>
    <row r="419" spans="5:6" ht="15">
      <c r="E419" s="6"/>
      <c r="F419" s="6"/>
    </row>
    <row r="420" spans="5:6" ht="15">
      <c r="E420" s="6"/>
      <c r="F420" s="6"/>
    </row>
    <row r="421" spans="5:6" ht="15">
      <c r="E421" s="6"/>
      <c r="F421" s="6"/>
    </row>
    <row r="422" spans="5:6" ht="15">
      <c r="E422" s="6"/>
      <c r="F422" s="6"/>
    </row>
    <row r="423" spans="5:6" ht="15">
      <c r="E423" s="6"/>
      <c r="F423" s="6"/>
    </row>
    <row r="424" spans="5:6" ht="15">
      <c r="E424" s="6"/>
      <c r="F424" s="6"/>
    </row>
    <row r="425" spans="5:6" ht="15">
      <c r="E425" s="6"/>
      <c r="F425" s="6"/>
    </row>
    <row r="426" spans="5:6" ht="15">
      <c r="E426" s="6"/>
      <c r="F426" s="6"/>
    </row>
    <row r="427" spans="5:6" ht="15">
      <c r="E427" s="6"/>
      <c r="F427" s="6"/>
    </row>
    <row r="428" spans="5:6" ht="15">
      <c r="E428" s="6"/>
      <c r="F428" s="6"/>
    </row>
    <row r="429" spans="5:6" ht="15">
      <c r="E429" s="6"/>
      <c r="F429" s="6"/>
    </row>
    <row r="430" spans="5:6" ht="15">
      <c r="E430" s="6"/>
      <c r="F430" s="6"/>
    </row>
    <row r="431" spans="5:6" ht="15">
      <c r="E431" s="6"/>
      <c r="F431" s="6"/>
    </row>
    <row r="432" spans="5:6" ht="15">
      <c r="E432" s="6"/>
      <c r="F432" s="6"/>
    </row>
    <row r="433" spans="5:6" ht="15">
      <c r="E433" s="6"/>
      <c r="F433" s="6"/>
    </row>
    <row r="434" spans="5:6" ht="15">
      <c r="E434" s="6"/>
      <c r="F434" s="6"/>
    </row>
    <row r="435" spans="5:6" ht="15">
      <c r="E435" s="6"/>
      <c r="F435" s="6"/>
    </row>
    <row r="436" spans="5:6" ht="15">
      <c r="E436" s="6"/>
      <c r="F436" s="6"/>
    </row>
    <row r="437" spans="5:6" ht="15">
      <c r="E437" s="6"/>
      <c r="F437" s="6"/>
    </row>
    <row r="438" spans="5:6" ht="15">
      <c r="E438" s="6"/>
      <c r="F438" s="6"/>
    </row>
    <row r="439" spans="5:6" ht="15">
      <c r="E439" s="6"/>
      <c r="F439" s="6"/>
    </row>
    <row r="440" spans="5:6" ht="15">
      <c r="E440" s="6"/>
      <c r="F440" s="6"/>
    </row>
    <row r="441" spans="5:6" ht="15">
      <c r="E441" s="6"/>
      <c r="F441" s="6"/>
    </row>
    <row r="442" spans="5:6" ht="15">
      <c r="E442" s="6"/>
      <c r="F442" s="6"/>
    </row>
    <row r="443" spans="5:6" ht="15">
      <c r="E443" s="6"/>
      <c r="F443" s="6"/>
    </row>
    <row r="444" spans="5:6" ht="15">
      <c r="E444" s="6"/>
      <c r="F444" s="6"/>
    </row>
    <row r="445" spans="5:6" ht="15">
      <c r="E445" s="6"/>
      <c r="F445" s="6"/>
    </row>
    <row r="446" spans="5:6" ht="15">
      <c r="E446" s="6"/>
      <c r="F446" s="6"/>
    </row>
    <row r="447" spans="5:6" ht="15">
      <c r="E447" s="6"/>
      <c r="F447" s="6"/>
    </row>
    <row r="448" spans="5:6" ht="15">
      <c r="E448" s="6"/>
      <c r="F448" s="6"/>
    </row>
    <row r="449" spans="5:6" ht="15">
      <c r="E449" s="6"/>
      <c r="F449" s="6"/>
    </row>
    <row r="450" spans="5:6" ht="15">
      <c r="E450" s="6"/>
      <c r="F450" s="6"/>
    </row>
    <row r="451" spans="5:6" ht="15">
      <c r="E451" s="6"/>
      <c r="F451" s="6"/>
    </row>
    <row r="452" spans="5:6" ht="15">
      <c r="E452" s="6"/>
      <c r="F452" s="6"/>
    </row>
    <row r="453" spans="5:6" ht="15">
      <c r="E453" s="6"/>
      <c r="F453" s="6"/>
    </row>
    <row r="454" spans="5:6" ht="15">
      <c r="E454" s="6"/>
      <c r="F454" s="6"/>
    </row>
    <row r="455" spans="5:6" ht="15">
      <c r="E455" s="6"/>
      <c r="F455" s="6"/>
    </row>
    <row r="456" spans="5:6" ht="15">
      <c r="E456" s="6"/>
      <c r="F456" s="6"/>
    </row>
    <row r="457" spans="5:6" ht="15">
      <c r="E457" s="6"/>
      <c r="F457" s="6"/>
    </row>
    <row r="458" spans="5:6" ht="15">
      <c r="E458" s="6"/>
      <c r="F458" s="6"/>
    </row>
    <row r="459" spans="5:6" ht="15">
      <c r="E459" s="6"/>
      <c r="F459" s="6"/>
    </row>
    <row r="460" spans="5:6" ht="15">
      <c r="E460" s="6"/>
      <c r="F460" s="6"/>
    </row>
    <row r="461" spans="5:6" ht="15">
      <c r="E461" s="6"/>
      <c r="F461" s="6"/>
    </row>
    <row r="462" spans="5:6" ht="15">
      <c r="E462" s="6"/>
      <c r="F462" s="6"/>
    </row>
    <row r="463" spans="5:6" ht="15">
      <c r="E463" s="6"/>
      <c r="F463" s="6"/>
    </row>
    <row r="464" spans="5:6" ht="15">
      <c r="E464" s="6"/>
      <c r="F464" s="6"/>
    </row>
    <row r="465" spans="5:6" ht="15">
      <c r="E465" s="6"/>
      <c r="F465" s="6"/>
    </row>
    <row r="466" spans="5:6" ht="15">
      <c r="E466" s="6"/>
      <c r="F466" s="6"/>
    </row>
    <row r="467" spans="5:6" ht="15">
      <c r="E467" s="6"/>
      <c r="F467" s="6"/>
    </row>
    <row r="468" spans="5:6" ht="15">
      <c r="E468" s="6"/>
      <c r="F468" s="6"/>
    </row>
    <row r="469" spans="5:6" ht="15">
      <c r="E469" s="6"/>
      <c r="F469" s="6"/>
    </row>
    <row r="470" spans="5:6" ht="15">
      <c r="E470" s="6"/>
      <c r="F470" s="6"/>
    </row>
    <row r="471" spans="5:6" ht="15">
      <c r="E471" s="6"/>
      <c r="F471" s="6"/>
    </row>
    <row r="472" spans="5:6" ht="15">
      <c r="E472" s="6"/>
      <c r="F472" s="6"/>
    </row>
    <row r="473" spans="5:6" ht="15">
      <c r="E473" s="6"/>
      <c r="F473" s="6"/>
    </row>
    <row r="474" spans="5:6" ht="15">
      <c r="E474" s="6"/>
      <c r="F474" s="6"/>
    </row>
    <row r="475" spans="5:6" ht="15">
      <c r="E475" s="6"/>
      <c r="F475" s="6"/>
    </row>
    <row r="476" spans="5:6" ht="15">
      <c r="E476" s="6"/>
      <c r="F476" s="6"/>
    </row>
    <row r="477" spans="5:6" ht="15">
      <c r="E477" s="6"/>
      <c r="F477" s="6"/>
    </row>
    <row r="478" spans="5:6" ht="15">
      <c r="E478" s="6"/>
      <c r="F478" s="6"/>
    </row>
    <row r="479" spans="5:6" ht="15">
      <c r="E479" s="6"/>
      <c r="F479" s="6"/>
    </row>
    <row r="480" spans="5:6" ht="15">
      <c r="E480" s="6"/>
      <c r="F480" s="6"/>
    </row>
    <row r="481" spans="5:6" ht="15">
      <c r="E481" s="6"/>
      <c r="F481" s="6"/>
    </row>
    <row r="482" spans="5:6" ht="15">
      <c r="E482" s="6"/>
      <c r="F482" s="6"/>
    </row>
    <row r="483" spans="5:6" ht="15">
      <c r="E483" s="6"/>
      <c r="F483" s="6"/>
    </row>
    <row r="484" spans="5:6" ht="15">
      <c r="E484" s="6"/>
      <c r="F484" s="6"/>
    </row>
    <row r="485" spans="5:6" ht="15">
      <c r="E485" s="6"/>
      <c r="F485" s="6"/>
    </row>
    <row r="486" spans="5:6" ht="15">
      <c r="E486" s="6"/>
      <c r="F486" s="6"/>
    </row>
    <row r="487" spans="5:6" ht="15">
      <c r="E487" s="6"/>
      <c r="F487" s="6"/>
    </row>
    <row r="488" spans="5:6" ht="15">
      <c r="E488" s="6"/>
      <c r="F488" s="6"/>
    </row>
    <row r="489" spans="5:6" ht="15">
      <c r="E489" s="6"/>
      <c r="F489" s="6"/>
    </row>
    <row r="490" spans="5:6" ht="15">
      <c r="E490" s="6"/>
      <c r="F490" s="6"/>
    </row>
    <row r="491" spans="5:6" ht="15">
      <c r="E491" s="6"/>
      <c r="F491" s="6"/>
    </row>
    <row r="492" spans="5:6" ht="15">
      <c r="E492" s="6"/>
      <c r="F492" s="6"/>
    </row>
    <row r="493" spans="5:6" ht="15">
      <c r="E493" s="6"/>
      <c r="F493" s="6"/>
    </row>
    <row r="494" spans="5:6" ht="15">
      <c r="E494" s="6"/>
      <c r="F494" s="6"/>
    </row>
    <row r="495" spans="5:6" ht="15">
      <c r="E495" s="6"/>
      <c r="F495" s="6"/>
    </row>
    <row r="496" spans="5:6" ht="15">
      <c r="E496" s="6"/>
      <c r="F496" s="6"/>
    </row>
    <row r="497" spans="5:6" ht="15">
      <c r="E497" s="6"/>
      <c r="F497" s="6"/>
    </row>
    <row r="498" spans="5:6" ht="15">
      <c r="E498" s="6"/>
      <c r="F498" s="6"/>
    </row>
    <row r="499" spans="5:6" ht="15">
      <c r="E499" s="6"/>
      <c r="F499" s="6"/>
    </row>
    <row r="500" spans="5:6" ht="15">
      <c r="E500" s="6"/>
      <c r="F500" s="6"/>
    </row>
    <row r="501" spans="5:6" ht="15">
      <c r="E501" s="6"/>
      <c r="F501" s="6"/>
    </row>
    <row r="502" spans="5:6" ht="15">
      <c r="E502" s="6"/>
      <c r="F502" s="6"/>
    </row>
    <row r="503" spans="5:6" ht="15">
      <c r="E503" s="6"/>
      <c r="F503" s="6"/>
    </row>
    <row r="504" spans="5:6" ht="15">
      <c r="E504" s="6"/>
      <c r="F504" s="6"/>
    </row>
    <row r="505" spans="5:6" ht="15">
      <c r="E505" s="6"/>
      <c r="F505" s="6"/>
    </row>
    <row r="506" spans="5:6" ht="15">
      <c r="E506" s="6"/>
      <c r="F506" s="6"/>
    </row>
    <row r="507" spans="5:6" ht="15">
      <c r="E507" s="6"/>
      <c r="F507" s="6"/>
    </row>
    <row r="508" spans="5:6" ht="15">
      <c r="E508" s="6"/>
      <c r="F508" s="6"/>
    </row>
    <row r="509" spans="5:6" ht="15">
      <c r="E509" s="6"/>
      <c r="F509" s="6"/>
    </row>
    <row r="510" spans="5:6" ht="15">
      <c r="E510" s="6"/>
      <c r="F510" s="6"/>
    </row>
    <row r="511" spans="5:6" ht="15">
      <c r="E511" s="6"/>
      <c r="F511" s="6"/>
    </row>
    <row r="512" spans="5:6" ht="15">
      <c r="E512" s="6"/>
      <c r="F512" s="6"/>
    </row>
    <row r="513" spans="5:6" ht="15">
      <c r="E513" s="6"/>
      <c r="F513" s="6"/>
    </row>
    <row r="514" spans="5:6" ht="15">
      <c r="E514" s="6"/>
      <c r="F514" s="6"/>
    </row>
    <row r="515" spans="5:6" ht="15">
      <c r="E515" s="6"/>
      <c r="F515" s="6"/>
    </row>
    <row r="516" spans="5:6" ht="15">
      <c r="E516" s="6"/>
      <c r="F516" s="6"/>
    </row>
    <row r="517" spans="5:6" ht="15">
      <c r="E517" s="6"/>
      <c r="F517" s="6"/>
    </row>
    <row r="518" spans="5:6" ht="15">
      <c r="E518" s="6"/>
      <c r="F518" s="6"/>
    </row>
    <row r="519" spans="5:6" ht="15">
      <c r="E519" s="6"/>
      <c r="F519" s="6"/>
    </row>
    <row r="520" spans="5:6" ht="15">
      <c r="E520" s="6"/>
      <c r="F520" s="6"/>
    </row>
    <row r="521" spans="5:6" ht="15">
      <c r="E521" s="6"/>
      <c r="F521" s="6"/>
    </row>
    <row r="522" spans="5:6" ht="15">
      <c r="E522" s="6"/>
      <c r="F522" s="6"/>
    </row>
    <row r="523" spans="5:6" ht="15">
      <c r="E523" s="6"/>
      <c r="F523" s="6"/>
    </row>
    <row r="524" spans="5:6" ht="15">
      <c r="E524" s="6"/>
      <c r="F524" s="6"/>
    </row>
    <row r="525" spans="5:6" ht="15">
      <c r="E525" s="6"/>
      <c r="F525" s="6"/>
    </row>
    <row r="526" spans="5:6" ht="15">
      <c r="E526" s="6"/>
      <c r="F526" s="6"/>
    </row>
    <row r="527" spans="5:6" ht="15">
      <c r="E527" s="6"/>
      <c r="F527" s="6"/>
    </row>
    <row r="528" spans="5:6" ht="15">
      <c r="E528" s="6"/>
      <c r="F528" s="6"/>
    </row>
    <row r="529" spans="5:6" ht="15">
      <c r="E529" s="6"/>
      <c r="F529" s="6"/>
    </row>
    <row r="530" spans="5:6" ht="15">
      <c r="E530" s="6"/>
      <c r="F530" s="6"/>
    </row>
    <row r="531" spans="5:6" ht="15">
      <c r="E531" s="6"/>
      <c r="F531" s="6"/>
    </row>
    <row r="532" spans="5:6" ht="15">
      <c r="E532" s="6"/>
      <c r="F532" s="6"/>
    </row>
    <row r="533" spans="5:6" ht="15">
      <c r="E533" s="6"/>
      <c r="F533" s="6"/>
    </row>
    <row r="534" spans="5:6" ht="15">
      <c r="E534" s="6"/>
      <c r="F534" s="6"/>
    </row>
    <row r="535" spans="5:6" ht="15">
      <c r="E535" s="6"/>
      <c r="F535" s="6"/>
    </row>
    <row r="536" spans="5:6" ht="15">
      <c r="E536" s="6"/>
      <c r="F536" s="6"/>
    </row>
    <row r="537" spans="5:6" ht="15">
      <c r="E537" s="6"/>
      <c r="F537" s="6"/>
    </row>
    <row r="538" spans="5:6" ht="15">
      <c r="E538" s="6"/>
      <c r="F538" s="6"/>
    </row>
    <row r="539" spans="5:6" ht="15">
      <c r="E539" s="6"/>
      <c r="F539" s="6"/>
    </row>
    <row r="540" spans="5:6" ht="15">
      <c r="E540" s="6"/>
      <c r="F540" s="6"/>
    </row>
    <row r="541" spans="5:6" ht="15">
      <c r="E541" s="6"/>
      <c r="F541" s="6"/>
    </row>
    <row r="542" spans="5:6" ht="15">
      <c r="E542" s="6"/>
      <c r="F542" s="6"/>
    </row>
    <row r="543" spans="5:6" ht="15">
      <c r="E543" s="6"/>
      <c r="F543" s="6"/>
    </row>
    <row r="544" spans="5:6" ht="15">
      <c r="E544" s="6"/>
      <c r="F544" s="6"/>
    </row>
    <row r="545" spans="5:6" ht="15">
      <c r="E545" s="6"/>
      <c r="F545" s="6"/>
    </row>
    <row r="546" spans="5:6" ht="15">
      <c r="E546" s="6"/>
      <c r="F546" s="6"/>
    </row>
    <row r="547" spans="5:6" ht="15">
      <c r="E547" s="6"/>
      <c r="F547" s="6"/>
    </row>
    <row r="548" spans="5:6" ht="15">
      <c r="E548" s="6"/>
      <c r="F548" s="6"/>
    </row>
    <row r="549" spans="5:6" ht="15">
      <c r="E549" s="6"/>
      <c r="F549" s="6"/>
    </row>
    <row r="550" spans="5:6" ht="15">
      <c r="E550" s="6"/>
      <c r="F550" s="6"/>
    </row>
    <row r="551" spans="5:6" ht="15">
      <c r="E551" s="6"/>
      <c r="F551" s="6"/>
    </row>
    <row r="552" spans="5:6" ht="15">
      <c r="E552" s="6"/>
      <c r="F552" s="6"/>
    </row>
    <row r="553" spans="5:6" ht="15">
      <c r="E553" s="6"/>
      <c r="F553" s="6"/>
    </row>
    <row r="554" spans="5:6" ht="15">
      <c r="E554" s="6"/>
      <c r="F554" s="6"/>
    </row>
    <row r="555" spans="5:6" ht="15">
      <c r="E555" s="6"/>
      <c r="F555" s="6"/>
    </row>
    <row r="556" spans="5:6" ht="15">
      <c r="E556" s="6"/>
      <c r="F556" s="6"/>
    </row>
    <row r="557" spans="5:6" ht="15">
      <c r="E557" s="6"/>
      <c r="F557" s="6"/>
    </row>
    <row r="558" spans="5:6" ht="15">
      <c r="E558" s="6"/>
      <c r="F558" s="6"/>
    </row>
    <row r="559" spans="5:6" ht="15">
      <c r="E559" s="6"/>
      <c r="F559" s="6"/>
    </row>
    <row r="560" spans="5:6" ht="15">
      <c r="E560" s="6"/>
      <c r="F560" s="6"/>
    </row>
    <row r="561" spans="5:6" ht="15">
      <c r="E561" s="6"/>
      <c r="F561" s="6"/>
    </row>
    <row r="562" spans="5:6" ht="15">
      <c r="E562" s="6"/>
      <c r="F562" s="6"/>
    </row>
    <row r="563" spans="5:6" ht="15">
      <c r="E563" s="6"/>
      <c r="F563" s="6"/>
    </row>
    <row r="564" spans="5:6" ht="15">
      <c r="E564" s="6"/>
      <c r="F564" s="6"/>
    </row>
    <row r="565" spans="5:6" ht="15">
      <c r="E565" s="6"/>
      <c r="F565" s="6"/>
    </row>
    <row r="566" spans="5:6" ht="15">
      <c r="E566" s="6"/>
      <c r="F566" s="6"/>
    </row>
    <row r="567" spans="5:6" ht="15">
      <c r="E567" s="6"/>
      <c r="F567" s="6"/>
    </row>
    <row r="568" spans="5:6" ht="15">
      <c r="E568" s="6"/>
      <c r="F568" s="6"/>
    </row>
    <row r="569" spans="5:6" ht="15">
      <c r="E569" s="6"/>
      <c r="F569" s="6"/>
    </row>
    <row r="570" spans="5:6" ht="15">
      <c r="E570" s="6"/>
      <c r="F570" s="6"/>
    </row>
    <row r="571" spans="5:6" ht="15">
      <c r="E571" s="6"/>
      <c r="F571" s="6"/>
    </row>
    <row r="572" spans="5:6" ht="15">
      <c r="E572" s="6"/>
      <c r="F572" s="6"/>
    </row>
    <row r="573" spans="5:6" ht="15">
      <c r="E573" s="6"/>
      <c r="F573" s="6"/>
    </row>
    <row r="574" spans="5:6" ht="15">
      <c r="E574" s="6"/>
      <c r="F574" s="6"/>
    </row>
    <row r="575" spans="5:6" ht="15">
      <c r="E575" s="6"/>
      <c r="F575" s="6"/>
    </row>
    <row r="576" spans="5:6" ht="15">
      <c r="E576" s="6"/>
      <c r="F576" s="6"/>
    </row>
    <row r="577" spans="5:6" ht="15">
      <c r="E577" s="6"/>
      <c r="F577" s="6"/>
    </row>
    <row r="578" spans="5:6" ht="15">
      <c r="E578" s="6"/>
      <c r="F578" s="6"/>
    </row>
    <row r="579" spans="5:6" ht="15">
      <c r="E579" s="6"/>
      <c r="F579" s="6"/>
    </row>
    <row r="580" spans="5:6" ht="15">
      <c r="E580" s="6"/>
      <c r="F580" s="6"/>
    </row>
    <row r="581" spans="5:6" ht="15">
      <c r="E581" s="6"/>
      <c r="F581" s="6"/>
    </row>
    <row r="582" spans="5:6" ht="15">
      <c r="E582" s="6"/>
      <c r="F582" s="6"/>
    </row>
    <row r="583" spans="5:6" ht="15">
      <c r="E583" s="6"/>
      <c r="F583" s="6"/>
    </row>
    <row r="584" spans="5:6" ht="15">
      <c r="E584" s="6"/>
      <c r="F584" s="6"/>
    </row>
    <row r="585" spans="5:6" ht="15">
      <c r="E585" s="6"/>
      <c r="F585" s="6"/>
    </row>
    <row r="586" spans="5:6" ht="15">
      <c r="E586" s="6"/>
      <c r="F586" s="6"/>
    </row>
    <row r="587" spans="5:6" ht="15">
      <c r="E587" s="6"/>
      <c r="F587" s="6"/>
    </row>
    <row r="588" spans="5:6" ht="15">
      <c r="E588" s="6"/>
      <c r="F588" s="6"/>
    </row>
    <row r="589" spans="5:6" ht="15">
      <c r="E589" s="6"/>
      <c r="F589" s="6"/>
    </row>
    <row r="590" spans="5:6" ht="15">
      <c r="E590" s="6"/>
      <c r="F590" s="6"/>
    </row>
    <row r="591" spans="5:6" ht="15">
      <c r="E591" s="6"/>
      <c r="F591" s="6"/>
    </row>
    <row r="592" spans="5:6" ht="15">
      <c r="E592" s="6"/>
      <c r="F592" s="6"/>
    </row>
    <row r="593" spans="5:6" ht="15">
      <c r="E593" s="6"/>
      <c r="F593" s="6"/>
    </row>
    <row r="594" spans="5:6" ht="15">
      <c r="E594" s="6"/>
      <c r="F594" s="6"/>
    </row>
    <row r="595" spans="5:6" ht="15">
      <c r="E595" s="6"/>
      <c r="F595" s="6"/>
    </row>
    <row r="596" spans="5:6" ht="15">
      <c r="E596" s="6"/>
      <c r="F596" s="6"/>
    </row>
    <row r="597" spans="5:6" ht="15">
      <c r="E597" s="6"/>
      <c r="F597" s="6"/>
    </row>
    <row r="598" spans="5:6" ht="15">
      <c r="E598" s="6"/>
      <c r="F598" s="6"/>
    </row>
    <row r="599" spans="5:6" ht="15">
      <c r="E599" s="6"/>
      <c r="F599" s="6"/>
    </row>
    <row r="600" spans="5:6" ht="15">
      <c r="E600" s="6"/>
      <c r="F600" s="6"/>
    </row>
    <row r="601" spans="5:6" ht="15">
      <c r="E601" s="6"/>
      <c r="F601" s="6"/>
    </row>
    <row r="602" spans="5:6" ht="15">
      <c r="E602" s="6"/>
      <c r="F602" s="6"/>
    </row>
    <row r="603" spans="5:6" ht="15">
      <c r="E603" s="6"/>
      <c r="F603" s="6"/>
    </row>
    <row r="604" spans="5:6" ht="15">
      <c r="E604" s="6"/>
      <c r="F604" s="6"/>
    </row>
    <row r="605" spans="5:6" ht="15">
      <c r="E605" s="6"/>
      <c r="F605" s="6"/>
    </row>
    <row r="606" spans="5:6" ht="15">
      <c r="E606" s="6"/>
      <c r="F606" s="6"/>
    </row>
    <row r="607" spans="5:6" ht="15">
      <c r="E607" s="6"/>
      <c r="F607" s="6"/>
    </row>
    <row r="608" spans="5:6" ht="15">
      <c r="E608" s="6"/>
      <c r="F608" s="6"/>
    </row>
    <row r="609" spans="5:6" ht="15">
      <c r="E609" s="6"/>
      <c r="F609" s="6"/>
    </row>
    <row r="610" spans="5:6" ht="15">
      <c r="E610" s="6"/>
      <c r="F610" s="6"/>
    </row>
    <row r="611" spans="5:6" ht="15">
      <c r="E611" s="6"/>
      <c r="F611" s="6"/>
    </row>
    <row r="612" spans="5:6" ht="15">
      <c r="E612" s="6"/>
      <c r="F612" s="6"/>
    </row>
    <row r="613" spans="5:6" ht="15">
      <c r="E613" s="6"/>
      <c r="F613" s="6"/>
    </row>
    <row r="614" spans="5:6" ht="15">
      <c r="E614" s="6"/>
      <c r="F614" s="6"/>
    </row>
    <row r="615" spans="5:6" ht="15">
      <c r="E615" s="6"/>
      <c r="F615" s="6"/>
    </row>
    <row r="616" spans="5:6" ht="15">
      <c r="E616" s="6"/>
      <c r="F616" s="6"/>
    </row>
    <row r="617" spans="5:6" ht="15">
      <c r="E617" s="6"/>
      <c r="F617" s="6"/>
    </row>
    <row r="618" spans="5:6" ht="15">
      <c r="E618" s="6"/>
      <c r="F618" s="6"/>
    </row>
    <row r="619" spans="5:6" ht="15">
      <c r="E619" s="6"/>
      <c r="F619" s="6"/>
    </row>
    <row r="620" spans="5:6" ht="15">
      <c r="E620" s="6"/>
      <c r="F620" s="6"/>
    </row>
    <row r="621" spans="5:6" ht="15">
      <c r="E621" s="6"/>
      <c r="F621" s="6"/>
    </row>
    <row r="622" spans="5:6" ht="15">
      <c r="E622" s="6"/>
      <c r="F622" s="6"/>
    </row>
    <row r="623" spans="5:6" ht="15">
      <c r="E623" s="6"/>
      <c r="F623" s="6"/>
    </row>
    <row r="624" spans="5:6" ht="15">
      <c r="E624" s="6"/>
      <c r="F624" s="6"/>
    </row>
    <row r="625" spans="5:6" ht="15">
      <c r="E625" s="6"/>
      <c r="F625" s="6"/>
    </row>
    <row r="626" spans="5:6" ht="15">
      <c r="E626" s="6"/>
      <c r="F626" s="6"/>
    </row>
    <row r="627" spans="5:6" ht="15">
      <c r="E627" s="6"/>
      <c r="F627" s="6"/>
    </row>
    <row r="628" spans="5:6" ht="15">
      <c r="E628" s="6"/>
      <c r="F628" s="6"/>
    </row>
    <row r="629" spans="5:6" ht="15">
      <c r="E629" s="6"/>
      <c r="F629" s="6"/>
    </row>
    <row r="630" spans="5:6" ht="15">
      <c r="E630" s="6"/>
      <c r="F630" s="6"/>
    </row>
    <row r="631" spans="5:6" ht="15">
      <c r="E631" s="6"/>
      <c r="F631" s="6"/>
    </row>
    <row r="632" spans="5:6" ht="15">
      <c r="E632" s="6"/>
      <c r="F632" s="6"/>
    </row>
    <row r="633" spans="5:6" ht="15">
      <c r="E633" s="6"/>
      <c r="F633" s="6"/>
    </row>
    <row r="634" spans="5:6" ht="15">
      <c r="E634" s="6"/>
      <c r="F634" s="6"/>
    </row>
    <row r="635" spans="5:6" ht="15">
      <c r="E635" s="6"/>
      <c r="F635" s="6"/>
    </row>
    <row r="636" spans="5:6" ht="15">
      <c r="E636" s="6"/>
      <c r="F636" s="6"/>
    </row>
    <row r="637" spans="5:6" ht="15">
      <c r="E637" s="6"/>
      <c r="F637" s="6"/>
    </row>
    <row r="638" spans="5:6" ht="15">
      <c r="E638" s="6"/>
      <c r="F638" s="6"/>
    </row>
    <row r="639" spans="5:6" ht="15">
      <c r="E639" s="6"/>
      <c r="F639" s="6"/>
    </row>
    <row r="640" spans="5:6" ht="15">
      <c r="E640" s="6"/>
      <c r="F640" s="6"/>
    </row>
    <row r="641" spans="5:6" ht="15">
      <c r="E641" s="6"/>
      <c r="F641" s="6"/>
    </row>
    <row r="642" spans="5:6" ht="15">
      <c r="E642" s="6"/>
      <c r="F642" s="6"/>
    </row>
    <row r="643" spans="5:6" ht="15">
      <c r="E643" s="6"/>
      <c r="F643" s="6"/>
    </row>
    <row r="644" spans="5:6" ht="15">
      <c r="E644" s="6"/>
      <c r="F644" s="6"/>
    </row>
    <row r="645" spans="5:6" ht="15">
      <c r="E645" s="6"/>
      <c r="F645" s="6"/>
    </row>
    <row r="646" spans="5:6" ht="15">
      <c r="E646" s="6"/>
      <c r="F646" s="6"/>
    </row>
    <row r="647" spans="5:6" ht="15">
      <c r="E647" s="6"/>
      <c r="F647" s="6"/>
    </row>
    <row r="648" spans="5:6" ht="15">
      <c r="E648" s="6"/>
      <c r="F648" s="6"/>
    </row>
    <row r="649" spans="5:6" ht="15">
      <c r="E649" s="6"/>
      <c r="F649" s="6"/>
    </row>
    <row r="650" spans="5:6" ht="15">
      <c r="E650" s="6"/>
      <c r="F650" s="6"/>
    </row>
    <row r="651" spans="5:6" ht="15">
      <c r="E651" s="6"/>
      <c r="F651" s="6"/>
    </row>
    <row r="652" spans="5:6" ht="15">
      <c r="E652" s="6"/>
      <c r="F652" s="6"/>
    </row>
    <row r="653" spans="5:6" ht="15">
      <c r="E653" s="6"/>
      <c r="F653" s="6"/>
    </row>
    <row r="654" spans="5:6" ht="15">
      <c r="E654" s="6"/>
      <c r="F654" s="6"/>
    </row>
    <row r="655" spans="5:6" ht="15">
      <c r="E655" s="6"/>
      <c r="F655" s="6"/>
    </row>
    <row r="656" spans="5:6" ht="15">
      <c r="E656" s="6"/>
      <c r="F656" s="6"/>
    </row>
    <row r="657" spans="5:6" ht="15">
      <c r="E657" s="6"/>
      <c r="F657" s="6"/>
    </row>
    <row r="658" spans="5:6" ht="15">
      <c r="E658" s="6"/>
      <c r="F658" s="6"/>
    </row>
    <row r="659" spans="5:6" ht="15">
      <c r="E659" s="6"/>
      <c r="F659" s="6"/>
    </row>
    <row r="660" spans="5:6" ht="15">
      <c r="E660" s="6"/>
      <c r="F660" s="6"/>
    </row>
    <row r="661" spans="5:6" ht="15">
      <c r="E661" s="6"/>
      <c r="F661" s="6"/>
    </row>
    <row r="662" spans="5:6" ht="15">
      <c r="E662" s="6"/>
      <c r="F662" s="6"/>
    </row>
    <row r="663" spans="5:6" ht="15">
      <c r="E663" s="6"/>
      <c r="F663" s="6"/>
    </row>
    <row r="664" spans="5:6" ht="15">
      <c r="E664" s="6"/>
      <c r="F664" s="6"/>
    </row>
    <row r="665" spans="5:6" ht="15">
      <c r="E665" s="6"/>
      <c r="F665" s="6"/>
    </row>
    <row r="666" spans="5:6" ht="15">
      <c r="E666" s="6"/>
      <c r="F666" s="6"/>
    </row>
    <row r="667" spans="5:6" ht="15">
      <c r="E667" s="6"/>
      <c r="F667" s="6"/>
    </row>
    <row r="668" spans="5:6" ht="15">
      <c r="E668" s="6"/>
      <c r="F668" s="6"/>
    </row>
    <row r="669" spans="5:6" ht="15">
      <c r="E669" s="6"/>
      <c r="F669" s="6"/>
    </row>
    <row r="670" spans="5:6" ht="15">
      <c r="E670" s="6"/>
      <c r="F670" s="6"/>
    </row>
    <row r="671" spans="5:6" ht="15">
      <c r="E671" s="6"/>
      <c r="F671" s="6"/>
    </row>
    <row r="672" spans="5:6" ht="15">
      <c r="E672" s="6"/>
      <c r="F672" s="6"/>
    </row>
    <row r="673" spans="5:6" ht="15">
      <c r="E673" s="6"/>
      <c r="F673" s="6"/>
    </row>
  </sheetData>
  <autoFilter ref="A1:AN119"/>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5"/>
  <sheetViews>
    <sheetView workbookViewId="0" topLeftCell="A1">
      <selection activeCell="A34" sqref="A34"/>
    </sheetView>
  </sheetViews>
  <sheetFormatPr defaultColWidth="9.140625" defaultRowHeight="15"/>
  <cols>
    <col min="1" max="1" width="5.421875" style="27" customWidth="1"/>
    <col min="2" max="2" width="4.140625" style="8" customWidth="1"/>
    <col min="3" max="3" width="4.140625" style="9" customWidth="1"/>
    <col min="4" max="4" width="16.00390625" style="22" customWidth="1"/>
    <col min="5" max="5" width="7.140625" style="22" customWidth="1"/>
    <col min="6" max="6" width="8.421875" style="34" customWidth="1"/>
    <col min="7" max="7" width="6.421875" style="22" customWidth="1"/>
    <col min="8" max="8" width="21.140625" style="22" customWidth="1"/>
    <col min="9" max="14" width="10.57421875" style="337" bestFit="1" customWidth="1"/>
    <col min="15" max="15" width="11.57421875" style="337" bestFit="1" customWidth="1"/>
    <col min="16" max="18" width="11.57421875" style="337" customWidth="1"/>
    <col min="19" max="19" width="5.8515625" style="22" bestFit="1" customWidth="1"/>
    <col min="20" max="20" width="20.28125" style="22" customWidth="1"/>
    <col min="21" max="21" width="4.57421875" style="22" customWidth="1"/>
    <col min="22" max="22" width="5.8515625" style="22" customWidth="1"/>
    <col min="23" max="32" width="13.421875" style="22" customWidth="1"/>
    <col min="33" max="33" width="11.57421875" style="22" customWidth="1"/>
    <col min="34" max="34" width="8.421875" style="22" customWidth="1"/>
    <col min="35" max="35" width="12.421875" style="31" customWidth="1"/>
    <col min="36" max="36" width="5.8515625" style="22" customWidth="1"/>
    <col min="37" max="37" width="0.85546875" style="24" customWidth="1"/>
    <col min="38" max="38" width="4.57421875" style="25" customWidth="1"/>
    <col min="39" max="39" width="16.140625" style="1" customWidth="1"/>
    <col min="40" max="40" width="5.57421875" style="1" customWidth="1"/>
    <col min="41" max="46" width="8.8515625" style="25" customWidth="1"/>
    <col min="47" max="47" width="9.57421875" style="25" bestFit="1" customWidth="1"/>
    <col min="48" max="50" width="9.57421875" style="25" customWidth="1"/>
    <col min="51" max="51" width="9.421875" style="26" customWidth="1"/>
    <col min="52" max="52" width="9.140625" style="25" customWidth="1"/>
    <col min="53" max="16384" width="9.140625" style="22" customWidth="1"/>
  </cols>
  <sheetData>
    <row r="1" spans="1:52" s="18" customFormat="1" ht="35.25" customHeight="1">
      <c r="A1" s="10" t="s">
        <v>4400</v>
      </c>
      <c r="B1" s="7"/>
      <c r="C1" s="7"/>
      <c r="D1" s="358" t="s">
        <v>2732</v>
      </c>
      <c r="E1" s="7" t="s">
        <v>3317</v>
      </c>
      <c r="F1" s="359" t="s">
        <v>3314</v>
      </c>
      <c r="G1" s="358" t="s">
        <v>2731</v>
      </c>
      <c r="H1" s="358" t="s">
        <v>3664</v>
      </c>
      <c r="I1" s="357" t="s">
        <v>2724</v>
      </c>
      <c r="J1" s="357" t="s">
        <v>2725</v>
      </c>
      <c r="K1" s="357" t="s">
        <v>2726</v>
      </c>
      <c r="L1" s="357" t="s">
        <v>2727</v>
      </c>
      <c r="M1" s="357" t="s">
        <v>2728</v>
      </c>
      <c r="N1" s="357" t="s">
        <v>2729</v>
      </c>
      <c r="O1" s="357" t="s">
        <v>4375</v>
      </c>
      <c r="P1" s="357" t="s">
        <v>4570</v>
      </c>
      <c r="Q1" s="357" t="s">
        <v>4572</v>
      </c>
      <c r="R1" s="357">
        <v>2019</v>
      </c>
      <c r="S1" s="358" t="s">
        <v>3316</v>
      </c>
      <c r="T1" s="358" t="s">
        <v>4403</v>
      </c>
      <c r="U1" s="11" t="s">
        <v>3316</v>
      </c>
      <c r="V1" s="11" t="s">
        <v>3315</v>
      </c>
      <c r="W1" s="11" t="s">
        <v>2724</v>
      </c>
      <c r="X1" s="11" t="s">
        <v>2725</v>
      </c>
      <c r="Y1" s="11" t="s">
        <v>2726</v>
      </c>
      <c r="Z1" s="11" t="s">
        <v>2727</v>
      </c>
      <c r="AA1" s="11" t="s">
        <v>2728</v>
      </c>
      <c r="AB1" s="11" t="s">
        <v>2729</v>
      </c>
      <c r="AC1" s="11" t="s">
        <v>4375</v>
      </c>
      <c r="AD1" s="11" t="s">
        <v>4570</v>
      </c>
      <c r="AE1" s="11" t="s">
        <v>4572</v>
      </c>
      <c r="AF1" s="11" t="s">
        <v>4599</v>
      </c>
      <c r="AG1" s="12" t="s">
        <v>4538</v>
      </c>
      <c r="AH1" s="12" t="s">
        <v>4374</v>
      </c>
      <c r="AI1" s="12" t="s">
        <v>4537</v>
      </c>
      <c r="AJ1" s="12">
        <f>'Tabela PS'!S41</f>
        <v>2019</v>
      </c>
      <c r="AK1" s="13"/>
      <c r="AL1" s="14"/>
      <c r="AM1" s="15" t="s">
        <v>4404</v>
      </c>
      <c r="AN1" s="15" t="s">
        <v>4395</v>
      </c>
      <c r="AO1" s="14">
        <v>2010</v>
      </c>
      <c r="AP1" s="14">
        <v>2011</v>
      </c>
      <c r="AQ1" s="14">
        <v>2012</v>
      </c>
      <c r="AR1" s="14">
        <v>2013</v>
      </c>
      <c r="AS1" s="14">
        <v>2014</v>
      </c>
      <c r="AT1" s="14">
        <v>2015</v>
      </c>
      <c r="AU1" s="14">
        <v>2016</v>
      </c>
      <c r="AV1" s="14">
        <v>2017</v>
      </c>
      <c r="AW1" s="14">
        <v>2018</v>
      </c>
      <c r="AX1" s="14">
        <v>2019</v>
      </c>
      <c r="AY1" s="16" t="s">
        <v>4600</v>
      </c>
      <c r="AZ1" s="17" t="b">
        <v>1</v>
      </c>
    </row>
    <row r="2" spans="1:51" ht="15">
      <c r="A2" s="19">
        <f>VLOOKUP(T29,T:V,3,0)</f>
        <v>23</v>
      </c>
      <c r="B2" s="8">
        <v>1</v>
      </c>
      <c r="C2" s="9">
        <f>MATCH($T$29,'Tabela PS'!D:D,0)</f>
        <v>124</v>
      </c>
      <c r="D2" s="20" t="s">
        <v>2734</v>
      </c>
      <c r="E2" s="21" t="s">
        <v>707</v>
      </c>
      <c r="F2" s="20" t="s">
        <v>2733</v>
      </c>
      <c r="G2" s="20" t="s">
        <v>2733</v>
      </c>
      <c r="H2" s="20" t="s">
        <v>3320</v>
      </c>
      <c r="I2" s="335">
        <v>777016475.8</v>
      </c>
      <c r="J2" s="335">
        <v>891344164.9</v>
      </c>
      <c r="K2" s="335">
        <v>925692738.6</v>
      </c>
      <c r="L2" s="335">
        <v>940543198.3</v>
      </c>
      <c r="M2" s="335">
        <v>957521359.7</v>
      </c>
      <c r="N2" s="335">
        <v>978753073.7</v>
      </c>
      <c r="O2" s="335">
        <v>1020198792.1</v>
      </c>
      <c r="P2" s="335">
        <v>1110129827.4</v>
      </c>
      <c r="Q2" s="335">
        <v>1173261262.2</v>
      </c>
      <c r="R2" s="335">
        <v>1215140733.4</v>
      </c>
      <c r="S2" s="22" t="s">
        <v>2733</v>
      </c>
      <c r="T2" s="20" t="s">
        <v>2734</v>
      </c>
      <c r="U2" s="22" t="s">
        <v>2733</v>
      </c>
      <c r="V2" s="22">
        <v>1</v>
      </c>
      <c r="W2" s="22">
        <f aca="true" t="shared" si="0" ref="W2:W27">VLOOKUP($T2,$D$2:$I$345,6,0)</f>
        <v>777016475.8</v>
      </c>
      <c r="X2" s="22">
        <f aca="true" t="shared" si="1" ref="X2:X27">VLOOKUP($T2,$D$2:$J$345,7,0)</f>
        <v>891344164.9</v>
      </c>
      <c r="Y2" s="22">
        <f aca="true" t="shared" si="2" ref="Y2:Y27">VLOOKUP($T2,$D$2:$K$345,8,0)</f>
        <v>925692738.6</v>
      </c>
      <c r="Z2" s="22">
        <f aca="true" t="shared" si="3" ref="Z2:Z27">VLOOKUP($T2,$D$2:$L$345,9,0)</f>
        <v>940543198.3</v>
      </c>
      <c r="AA2" s="22">
        <f aca="true" t="shared" si="4" ref="AA2:AA27">VLOOKUP($T2,$D$2:$M$345,10,0)</f>
        <v>957521359.7</v>
      </c>
      <c r="AB2" s="22">
        <f aca="true" t="shared" si="5" ref="AB2:AB27">VLOOKUP($T2,$D$2:$N$345,11,0)</f>
        <v>978753073.7</v>
      </c>
      <c r="AC2" s="22">
        <f aca="true" t="shared" si="6" ref="AC2:AC27">VLOOKUP($T2,$D$2:$O$345,12,0)</f>
        <v>1020198792.1</v>
      </c>
      <c r="AD2" s="22">
        <f aca="true" t="shared" si="7" ref="AD2:AD27">VLOOKUP($T2,$D$2:$P$345,13,0)</f>
        <v>1110129827.4</v>
      </c>
      <c r="AE2" s="22">
        <f aca="true" t="shared" si="8" ref="AE2:AE27">VLOOKUP($T2,$D$2:$Q$345,14,0)</f>
        <v>1173261262.2</v>
      </c>
      <c r="AF2" s="22">
        <f aca="true" t="shared" si="9" ref="AF2:AF27">VLOOKUP($T2,$D$2:$R$345,15,0)</f>
        <v>1215140733.4</v>
      </c>
      <c r="AG2" s="22">
        <f aca="true" t="shared" si="10" ref="AG2:AG27">INDEX(W2:AF2,1,Wybrany_rok-2009)</f>
        <v>1215140733.4</v>
      </c>
      <c r="AH2" s="96">
        <f aca="true" t="shared" si="11" ref="AH2:AH27">_xlfn.IFERROR(INDEX(W2:AF2,1,Wybrany_rok-2009)/INDEX(W2:AF2,1,Wybrany_rok-2010)*100,"")</f>
        <v>103.56949236706845</v>
      </c>
      <c r="AI2" s="23" t="str">
        <f>IF($AG$30=U2,AG2,"")</f>
        <v/>
      </c>
      <c r="AJ2" s="22">
        <f>Wybrany_rok-2009</f>
        <v>10</v>
      </c>
      <c r="AL2" s="25">
        <v>1</v>
      </c>
      <c r="AM2" s="25" t="str">
        <f>_xlfn.IFERROR(INDEX('Tabela PS'!D:E,'Tabela PS'!C2,1),"")</f>
        <v>CHEMIKALIA I WYROBY CHEMICZNE</v>
      </c>
      <c r="AN2" s="25" t="str">
        <f>_xlfn.IFERROR(INDEX('Tabela PS'!D:G,'Tabela PS'!C2,4),"")</f>
        <v>20</v>
      </c>
      <c r="AO2" s="25">
        <f>_xlfn.IFERROR(INDEX('Tabela PS'!$I:$Q,'Tabela PS'!C2,1),"")</f>
        <v>43997362.7</v>
      </c>
      <c r="AP2" s="25">
        <f>_xlfn.IFERROR(INDEX('Tabela PS'!$I:$Q,'Tabela PS'!C2,2),"")</f>
        <v>56432043.4</v>
      </c>
      <c r="AQ2" s="25">
        <f>_xlfn.IFERROR(INDEX('Tabela PS'!$I:$Q,'Tabela PS'!C2,3),"")</f>
        <v>60913892.5</v>
      </c>
      <c r="AR2" s="25">
        <f>_xlfn.IFERROR(INDEX('Tabela PS'!$I:$Q,'Tabela PS'!C2,4),"")</f>
        <v>61219403.5</v>
      </c>
      <c r="AS2" s="25">
        <f>_xlfn.IFERROR(INDEX('Tabela PS'!$I:$Q,'Tabela PS'!C2,5),"")</f>
        <v>59023634.7</v>
      </c>
      <c r="AT2" s="25">
        <f>_xlfn.IFERROR(INDEX('Tabela PS'!$I:$Q,'Tabela PS'!C2,6),"")</f>
        <v>60753386.9</v>
      </c>
      <c r="AU2" s="25">
        <f>_xlfn.IFERROR(INDEX('Tabela PS'!$I:$Q,'Tabela PS'!C2,7),"")</f>
        <v>61122833.2</v>
      </c>
      <c r="AV2" s="25">
        <f>_xlfn.IFERROR(INDEX('Tabela PS'!$I:$Q,'Tabela PS'!C2,8),"")</f>
        <v>65853552.6</v>
      </c>
      <c r="AW2" s="25">
        <f>_xlfn.IFERROR(INDEX('Tabela PS'!$I:$Q,'Tabela PS'!C2,9),"")</f>
        <v>67388819.8</v>
      </c>
      <c r="AX2" s="25">
        <f>_xlfn.IFERROR(INDEX('Tabela PS'!$I:$R,'Tabela PS'!C2,10),"")</f>
        <v>69949700.1</v>
      </c>
      <c r="AY2" s="26">
        <f>_xlfn.IFERROR(AX2/AO2*100,"")</f>
        <v>158.98612054762998</v>
      </c>
    </row>
    <row r="3" spans="1:51" ht="15">
      <c r="A3" s="9"/>
      <c r="B3" s="8">
        <f aca="true" t="shared" si="12" ref="B3:B66">_xlfn.IFERROR(IF(B2=$A$2-1,"koniec",B2+1),"")</f>
        <v>2</v>
      </c>
      <c r="C3" s="9">
        <f>IF($A$2=1,"",_xlfn.IFERROR(MATCH($T$29,'Tabela PS'!D:D,0)+B2,""))</f>
        <v>125</v>
      </c>
      <c r="D3" s="20" t="s">
        <v>2730</v>
      </c>
      <c r="E3" s="21" t="s">
        <v>708</v>
      </c>
      <c r="F3" s="20" t="s">
        <v>671</v>
      </c>
      <c r="G3" s="20" t="s">
        <v>671</v>
      </c>
      <c r="H3" s="20" t="s">
        <v>3321</v>
      </c>
      <c r="I3" s="335">
        <v>24823416.4</v>
      </c>
      <c r="J3" s="335">
        <v>27151416.6</v>
      </c>
      <c r="K3" s="335">
        <v>25530584.4</v>
      </c>
      <c r="L3" s="335">
        <v>23896081.9</v>
      </c>
      <c r="M3" s="335">
        <v>20479064.1</v>
      </c>
      <c r="N3" s="335">
        <v>20034573.8</v>
      </c>
      <c r="O3" s="335">
        <v>19125590.4</v>
      </c>
      <c r="P3" s="335">
        <v>21620280.6</v>
      </c>
      <c r="Q3" s="335">
        <v>22395960</v>
      </c>
      <c r="R3" s="335">
        <v>21387557.1</v>
      </c>
      <c r="S3" s="22" t="s">
        <v>671</v>
      </c>
      <c r="T3" s="22" t="s">
        <v>2730</v>
      </c>
      <c r="U3" s="22" t="s">
        <v>671</v>
      </c>
      <c r="V3" s="22">
        <v>5</v>
      </c>
      <c r="W3" s="22">
        <f t="shared" si="0"/>
        <v>24823416.4</v>
      </c>
      <c r="X3" s="22">
        <f t="shared" si="1"/>
        <v>27151416.6</v>
      </c>
      <c r="Y3" s="22">
        <f t="shared" si="2"/>
        <v>25530584.4</v>
      </c>
      <c r="Z3" s="22">
        <f t="shared" si="3"/>
        <v>23896081.9</v>
      </c>
      <c r="AA3" s="22">
        <f t="shared" si="4"/>
        <v>20479064.1</v>
      </c>
      <c r="AB3" s="22">
        <f t="shared" si="5"/>
        <v>20034573.8</v>
      </c>
      <c r="AC3" s="22">
        <f t="shared" si="6"/>
        <v>19125590.4</v>
      </c>
      <c r="AD3" s="22">
        <f t="shared" si="7"/>
        <v>21620280.6</v>
      </c>
      <c r="AE3" s="22">
        <f t="shared" si="8"/>
        <v>22395960</v>
      </c>
      <c r="AF3" s="22">
        <f t="shared" si="9"/>
        <v>21387557.1</v>
      </c>
      <c r="AG3" s="22">
        <f t="shared" si="10"/>
        <v>21387557.1</v>
      </c>
      <c r="AH3" s="96">
        <f t="shared" si="11"/>
        <v>95.49738926127749</v>
      </c>
      <c r="AI3" s="23" t="str">
        <f aca="true" t="shared" si="13" ref="AI3:AI27">IF($AG$30=U3,AG3,"")</f>
        <v/>
      </c>
      <c r="AL3" s="25">
        <v>2</v>
      </c>
      <c r="AM3" s="25" t="str">
        <f>_xlfn.IFERROR(INDEX('Tabela PS'!D:E,'Tabela PS'!C3,1),"")</f>
        <v>Chemikalia podstawowe, nawozy i związki azotowe, tworzywa sztuczne  i kauczuk syntetyczny w formach podstawowych</v>
      </c>
      <c r="AN3" s="25" t="str">
        <f>_xlfn.IFERROR(INDEX('Tabela PS'!D:G,'Tabela PS'!C3,4),"")</f>
        <v>20.1</v>
      </c>
      <c r="AO3" s="25">
        <f>_xlfn.IFERROR(INDEX('Tabela PS'!$I:$Q,'Tabela PS'!C3,1),"")</f>
        <v>27798606.5</v>
      </c>
      <c r="AP3" s="25">
        <f>_xlfn.IFERROR(INDEX('Tabela PS'!$I:$Q,'Tabela PS'!C3,2),"")</f>
        <v>37034302.5</v>
      </c>
      <c r="AQ3" s="25">
        <f>_xlfn.IFERROR(INDEX('Tabela PS'!$I:$Q,'Tabela PS'!C3,3),"")</f>
        <v>39592123.8</v>
      </c>
      <c r="AR3" s="25">
        <f>_xlfn.IFERROR(INDEX('Tabela PS'!$I:$Q,'Tabela PS'!C3,4),"")</f>
        <v>39239988.5</v>
      </c>
      <c r="AS3" s="25">
        <f>_xlfn.IFERROR(INDEX('Tabela PS'!$I:$Q,'Tabela PS'!C3,5),"")</f>
        <v>37274773.4</v>
      </c>
      <c r="AT3" s="25">
        <f>_xlfn.IFERROR(INDEX('Tabela PS'!$I:$Q,'Tabela PS'!C3,6),"")</f>
        <v>37918407.9</v>
      </c>
      <c r="AU3" s="25">
        <f>_xlfn.IFERROR(INDEX('Tabela PS'!$I:$Q,'Tabela PS'!C3,7),"")</f>
        <v>35105048</v>
      </c>
      <c r="AV3" s="25">
        <f>_xlfn.IFERROR(INDEX('Tabela PS'!$I:$Q,'Tabela PS'!C3,8),"")</f>
        <v>38806042.3</v>
      </c>
      <c r="AW3" s="25">
        <f>_xlfn.IFERROR(INDEX('Tabela PS'!$I:$Q,'Tabela PS'!C3,9),"")</f>
        <v>40206681.8</v>
      </c>
      <c r="AX3" s="25">
        <f>_xlfn.IFERROR(INDEX('Tabela PS'!$I:$R,'Tabela PS'!C3,10),"")</f>
        <v>41328086.3</v>
      </c>
      <c r="AY3" s="26">
        <f aca="true" t="shared" si="14" ref="AY3:AY36">_xlfn.IFERROR(AX3/AO3*100,"")</f>
        <v>148.66963313430836</v>
      </c>
    </row>
    <row r="4" spans="2:51" ht="15">
      <c r="B4" s="8">
        <f t="shared" si="12"/>
        <v>3</v>
      </c>
      <c r="C4" s="9">
        <f>IF($A$2=1,"",_xlfn.IFERROR(MATCH($T$29,'Tabela PS'!D:D,0)+B3,""))</f>
        <v>126</v>
      </c>
      <c r="D4" s="20" t="s">
        <v>24</v>
      </c>
      <c r="E4" s="21" t="s">
        <v>709</v>
      </c>
      <c r="F4" s="20" t="s">
        <v>671</v>
      </c>
      <c r="G4" s="20" t="s">
        <v>2735</v>
      </c>
      <c r="H4" s="20" t="s">
        <v>3322</v>
      </c>
      <c r="I4" s="335">
        <v>22191761.2</v>
      </c>
      <c r="J4" s="335">
        <v>26153361.9</v>
      </c>
      <c r="K4" s="335">
        <v>24517234.1</v>
      </c>
      <c r="L4" s="335">
        <v>22838142.3</v>
      </c>
      <c r="M4" s="335">
        <v>19549907.4</v>
      </c>
      <c r="N4" s="335">
        <v>19134910.5</v>
      </c>
      <c r="O4" s="335">
        <v>18301869.2</v>
      </c>
      <c r="P4" s="335">
        <v>20770082.9</v>
      </c>
      <c r="Q4" s="335" t="s">
        <v>2740</v>
      </c>
      <c r="R4" s="335" t="s">
        <v>2740</v>
      </c>
      <c r="S4" s="22" t="s">
        <v>672</v>
      </c>
      <c r="T4" s="22" t="s">
        <v>40</v>
      </c>
      <c r="U4" s="22" t="s">
        <v>674</v>
      </c>
      <c r="V4" s="22">
        <v>9</v>
      </c>
      <c r="W4" s="22">
        <f t="shared" si="0"/>
        <v>5842088.7</v>
      </c>
      <c r="X4" s="22">
        <f t="shared" si="1"/>
        <v>7128294.6</v>
      </c>
      <c r="Y4" s="22">
        <f t="shared" si="2"/>
        <v>5686334.9</v>
      </c>
      <c r="Z4" s="22">
        <f t="shared" si="3"/>
        <v>5157227.4</v>
      </c>
      <c r="AA4" s="22">
        <f t="shared" si="4"/>
        <v>5184524.7</v>
      </c>
      <c r="AB4" s="22">
        <f t="shared" si="5"/>
        <v>5183431.5</v>
      </c>
      <c r="AC4" s="22">
        <f t="shared" si="6"/>
        <v>5128538.3</v>
      </c>
      <c r="AD4" s="22">
        <f t="shared" si="7"/>
        <v>5763500.8</v>
      </c>
      <c r="AE4" s="22">
        <f t="shared" si="8"/>
        <v>6901428.1</v>
      </c>
      <c r="AF4" s="22">
        <f t="shared" si="9"/>
        <v>6966421.1</v>
      </c>
      <c r="AG4" s="22">
        <f t="shared" si="10"/>
        <v>6966421.1</v>
      </c>
      <c r="AH4" s="96">
        <f t="shared" si="11"/>
        <v>100.94173262487513</v>
      </c>
      <c r="AI4" s="23" t="str">
        <f t="shared" si="13"/>
        <v/>
      </c>
      <c r="AL4" s="25">
        <v>3</v>
      </c>
      <c r="AM4" s="25" t="str">
        <f>_xlfn.IFERROR(INDEX('Tabela PS'!D:E,'Tabela PS'!C4,1),"")</f>
        <v>Gazy techniczne</v>
      </c>
      <c r="AN4" s="25" t="str">
        <f>_xlfn.IFERROR(INDEX('Tabela PS'!D:G,'Tabela PS'!C4,4),"")</f>
        <v>20.11</v>
      </c>
      <c r="AO4" s="25">
        <f>_xlfn.IFERROR(INDEX('Tabela PS'!$I:$Q,'Tabela PS'!C4,1),"")</f>
        <v>1262005.5</v>
      </c>
      <c r="AP4" s="25">
        <f>_xlfn.IFERROR(INDEX('Tabela PS'!$I:$Q,'Tabela PS'!C4,2),"")</f>
        <v>1434649.3</v>
      </c>
      <c r="AQ4" s="25">
        <f>_xlfn.IFERROR(INDEX('Tabela PS'!$I:$Q,'Tabela PS'!C4,3),"")</f>
        <v>1418949.1</v>
      </c>
      <c r="AR4" s="25">
        <f>_xlfn.IFERROR(INDEX('Tabela PS'!$I:$Q,'Tabela PS'!C4,4),"")</f>
        <v>1536885.8</v>
      </c>
      <c r="AS4" s="25">
        <f>_xlfn.IFERROR(INDEX('Tabela PS'!$I:$Q,'Tabela PS'!C4,5),"")</f>
        <v>1481992.8</v>
      </c>
      <c r="AT4" s="25">
        <f>_xlfn.IFERROR(INDEX('Tabela PS'!$I:$Q,'Tabela PS'!C4,6),"")</f>
        <v>1536546.2</v>
      </c>
      <c r="AU4" s="25">
        <f>_xlfn.IFERROR(INDEX('Tabela PS'!$I:$Q,'Tabela PS'!C4,7),"")</f>
        <v>1493960.7</v>
      </c>
      <c r="AV4" s="25">
        <f>_xlfn.IFERROR(INDEX('Tabela PS'!$I:$Q,'Tabela PS'!C4,8),"")</f>
        <v>1658796.1</v>
      </c>
      <c r="AW4" s="25">
        <f>_xlfn.IFERROR(INDEX('Tabela PS'!$I:$Q,'Tabela PS'!C4,9),"")</f>
        <v>1702215.1</v>
      </c>
      <c r="AX4" s="25">
        <f>_xlfn.IFERROR(INDEX('Tabela PS'!$I:$R,'Tabela PS'!C4,10),"")</f>
        <v>1872713.6</v>
      </c>
      <c r="AY4" s="26">
        <f t="shared" si="14"/>
        <v>148.39187309405546</v>
      </c>
    </row>
    <row r="5" spans="1:51" ht="15">
      <c r="A5" s="9"/>
      <c r="B5" s="8">
        <f t="shared" si="12"/>
        <v>4</v>
      </c>
      <c r="C5" s="9">
        <f>IF($A$2=1,"",_xlfn.IFERROR(MATCH($T$29,'Tabela PS'!D:D,0)+B4,""))</f>
        <v>127</v>
      </c>
      <c r="D5" s="28" t="s">
        <v>24</v>
      </c>
      <c r="E5" s="21" t="s">
        <v>710</v>
      </c>
      <c r="F5" s="20" t="s">
        <v>671</v>
      </c>
      <c r="G5" s="28" t="s">
        <v>2736</v>
      </c>
      <c r="H5" s="20" t="s">
        <v>3323</v>
      </c>
      <c r="I5" s="335">
        <v>22191761.2</v>
      </c>
      <c r="J5" s="335">
        <v>26153361.9</v>
      </c>
      <c r="K5" s="335">
        <v>24517234.1</v>
      </c>
      <c r="L5" s="335">
        <v>22838142.3</v>
      </c>
      <c r="M5" s="335">
        <v>19549907.4</v>
      </c>
      <c r="N5" s="335">
        <v>19134910.5</v>
      </c>
      <c r="O5" s="335">
        <v>18301869.2</v>
      </c>
      <c r="P5" s="335">
        <v>20770082.9</v>
      </c>
      <c r="Q5" s="335" t="s">
        <v>2740</v>
      </c>
      <c r="R5" s="335" t="s">
        <v>2740</v>
      </c>
      <c r="S5" s="22" t="s">
        <v>673</v>
      </c>
      <c r="T5" s="22" t="s">
        <v>67</v>
      </c>
      <c r="U5" s="22" t="s">
        <v>676</v>
      </c>
      <c r="V5" s="22">
        <v>35</v>
      </c>
      <c r="W5" s="22">
        <f t="shared" si="0"/>
        <v>126294865.6</v>
      </c>
      <c r="X5" s="22">
        <f t="shared" si="1"/>
        <v>139488379.4</v>
      </c>
      <c r="Y5" s="22">
        <f t="shared" si="2"/>
        <v>157409632.2</v>
      </c>
      <c r="Z5" s="22">
        <f t="shared" si="3"/>
        <v>160539714.7</v>
      </c>
      <c r="AA5" s="22">
        <f t="shared" si="4"/>
        <v>160090615.2</v>
      </c>
      <c r="AB5" s="22">
        <f t="shared" si="5"/>
        <v>162500264.2</v>
      </c>
      <c r="AC5" s="22">
        <f t="shared" si="6"/>
        <v>173810294.2</v>
      </c>
      <c r="AD5" s="22">
        <f t="shared" si="7"/>
        <v>189460104.4</v>
      </c>
      <c r="AE5" s="22">
        <f t="shared" si="8"/>
        <v>196479117.4</v>
      </c>
      <c r="AF5" s="22">
        <f t="shared" si="9"/>
        <v>203188568.8</v>
      </c>
      <c r="AG5" s="22">
        <f t="shared" si="10"/>
        <v>203188568.8</v>
      </c>
      <c r="AH5" s="96">
        <f t="shared" si="11"/>
        <v>103.4148419886988</v>
      </c>
      <c r="AI5" s="23" t="str">
        <f t="shared" si="13"/>
        <v/>
      </c>
      <c r="AL5" s="25">
        <v>4</v>
      </c>
      <c r="AM5" s="25" t="str">
        <f>_xlfn.IFERROR(INDEX('Tabela PS'!D:E,'Tabela PS'!C5,1),"")</f>
        <v>Barwniki i pigmenty</v>
      </c>
      <c r="AN5" s="25" t="str">
        <f>_xlfn.IFERROR(INDEX('Tabela PS'!D:G,'Tabela PS'!C5,4),"")</f>
        <v>20.12</v>
      </c>
      <c r="AO5" s="25" t="str">
        <f>_xlfn.IFERROR(INDEX('Tabela PS'!$I:$Q,'Tabela PS'!C5,1),"")</f>
        <v>#</v>
      </c>
      <c r="AP5" s="25" t="str">
        <f>_xlfn.IFERROR(INDEX('Tabela PS'!$I:$Q,'Tabela PS'!C5,2),"")</f>
        <v>#</v>
      </c>
      <c r="AQ5" s="25" t="str">
        <f>_xlfn.IFERROR(INDEX('Tabela PS'!$I:$Q,'Tabela PS'!C5,3),"")</f>
        <v>#</v>
      </c>
      <c r="AR5" s="25" t="str">
        <f>_xlfn.IFERROR(INDEX('Tabela PS'!$I:$Q,'Tabela PS'!C5,4),"")</f>
        <v>#</v>
      </c>
      <c r="AS5" s="25" t="str">
        <f>_xlfn.IFERROR(INDEX('Tabela PS'!$I:$Q,'Tabela PS'!C5,5),"")</f>
        <v>#</v>
      </c>
      <c r="AT5" s="25" t="str">
        <f>_xlfn.IFERROR(INDEX('Tabela PS'!$I:$Q,'Tabela PS'!C5,6),"")</f>
        <v>#</v>
      </c>
      <c r="AU5" s="25">
        <f>_xlfn.IFERROR(INDEX('Tabela PS'!$I:$Q,'Tabela PS'!C5,7),"")</f>
        <v>840964.7</v>
      </c>
      <c r="AV5" s="25">
        <f>_xlfn.IFERROR(INDEX('Tabela PS'!$I:$Q,'Tabela PS'!C5,8),"")</f>
        <v>1013020.1</v>
      </c>
      <c r="AW5" s="25">
        <f>_xlfn.IFERROR(INDEX('Tabela PS'!$I:$Q,'Tabela PS'!C5,9),"")</f>
        <v>977166.7</v>
      </c>
      <c r="AX5" s="25">
        <f>_xlfn.IFERROR(INDEX('Tabela PS'!$I:$R,'Tabela PS'!C5,10),"")</f>
        <v>975366</v>
      </c>
      <c r="AY5" s="26" t="str">
        <f t="shared" si="14"/>
        <v/>
      </c>
    </row>
    <row r="6" spans="1:51" ht="15">
      <c r="A6" s="9"/>
      <c r="B6" s="8">
        <f t="shared" si="12"/>
        <v>5</v>
      </c>
      <c r="C6" s="9">
        <f>IF($A$2=1,"",_xlfn.IFERROR(MATCH($T$29,'Tabela PS'!D:D,0)+B5,""))</f>
        <v>128</v>
      </c>
      <c r="D6" s="20" t="s">
        <v>2738</v>
      </c>
      <c r="E6" s="21" t="s">
        <v>711</v>
      </c>
      <c r="F6" s="20" t="s">
        <v>671</v>
      </c>
      <c r="G6" s="20" t="s">
        <v>2737</v>
      </c>
      <c r="H6" s="20" t="s">
        <v>3324</v>
      </c>
      <c r="I6" s="335">
        <v>2631655.2</v>
      </c>
      <c r="J6" s="335">
        <v>998054.7</v>
      </c>
      <c r="K6" s="335">
        <v>1013350.3</v>
      </c>
      <c r="L6" s="335">
        <v>1057939.6</v>
      </c>
      <c r="M6" s="335">
        <v>929156.7</v>
      </c>
      <c r="N6" s="335">
        <v>899663.3</v>
      </c>
      <c r="O6" s="335">
        <v>823721.2</v>
      </c>
      <c r="P6" s="335">
        <v>850197.7</v>
      </c>
      <c r="Q6" s="335" t="s">
        <v>2740</v>
      </c>
      <c r="R6" s="335" t="s">
        <v>2740</v>
      </c>
      <c r="S6" s="22" t="s">
        <v>674</v>
      </c>
      <c r="T6" s="22" t="s">
        <v>121</v>
      </c>
      <c r="U6" s="22" t="s">
        <v>677</v>
      </c>
      <c r="V6" s="22">
        <v>9</v>
      </c>
      <c r="W6" s="22">
        <f t="shared" si="0"/>
        <v>27599138.7</v>
      </c>
      <c r="X6" s="22">
        <f t="shared" si="1"/>
        <v>28652477.1</v>
      </c>
      <c r="Y6" s="22">
        <f t="shared" si="2"/>
        <v>30309627.4</v>
      </c>
      <c r="Z6" s="22">
        <f t="shared" si="3"/>
        <v>30985923.1</v>
      </c>
      <c r="AA6" s="22">
        <f t="shared" si="4"/>
        <v>30361556</v>
      </c>
      <c r="AB6" s="22">
        <f t="shared" si="5"/>
        <v>29650401.7</v>
      </c>
      <c r="AC6" s="22">
        <f t="shared" si="6"/>
        <v>29681886.8</v>
      </c>
      <c r="AD6" s="22">
        <f t="shared" si="7"/>
        <v>30004826.9</v>
      </c>
      <c r="AE6" s="22">
        <f t="shared" si="8"/>
        <v>31495106.5</v>
      </c>
      <c r="AF6" s="22">
        <f t="shared" si="9"/>
        <v>33374156.4</v>
      </c>
      <c r="AG6" s="22">
        <f t="shared" si="10"/>
        <v>33374156.4</v>
      </c>
      <c r="AH6" s="96">
        <f t="shared" si="11"/>
        <v>105.96616461671593</v>
      </c>
      <c r="AI6" s="23" t="str">
        <f t="shared" si="13"/>
        <v/>
      </c>
      <c r="AL6" s="25">
        <v>5</v>
      </c>
      <c r="AM6" s="25" t="str">
        <f>_xlfn.IFERROR(INDEX('Tabela PS'!D:E,'Tabela PS'!C6,1),"")</f>
        <v>Pozostałe podstawowe chemikalia nieorganiczne</v>
      </c>
      <c r="AN6" s="25" t="str">
        <f>_xlfn.IFERROR(INDEX('Tabela PS'!D:G,'Tabela PS'!C6,4),"")</f>
        <v>20.13</v>
      </c>
      <c r="AO6" s="25">
        <f>_xlfn.IFERROR(INDEX('Tabela PS'!$I:$Q,'Tabela PS'!C6,1),"")</f>
        <v>1876569.5</v>
      </c>
      <c r="AP6" s="25">
        <f>_xlfn.IFERROR(INDEX('Tabela PS'!$I:$Q,'Tabela PS'!C6,2),"")</f>
        <v>2317161.3</v>
      </c>
      <c r="AQ6" s="25">
        <f>_xlfn.IFERROR(INDEX('Tabela PS'!$I:$Q,'Tabela PS'!C6,3),"")</f>
        <v>2327715.9</v>
      </c>
      <c r="AR6" s="25">
        <f>_xlfn.IFERROR(INDEX('Tabela PS'!$I:$Q,'Tabela PS'!C6,4),"")</f>
        <v>2439546.1</v>
      </c>
      <c r="AS6" s="25">
        <f>_xlfn.IFERROR(INDEX('Tabela PS'!$I:$Q,'Tabela PS'!C6,5),"")</f>
        <v>2358196.1</v>
      </c>
      <c r="AT6" s="25">
        <f>_xlfn.IFERROR(INDEX('Tabela PS'!$I:$Q,'Tabela PS'!C6,6),"")</f>
        <v>2427476.1</v>
      </c>
      <c r="AU6" s="25">
        <f>_xlfn.IFERROR(INDEX('Tabela PS'!$I:$Q,'Tabela PS'!C6,7),"")</f>
        <v>2543270.8</v>
      </c>
      <c r="AV6" s="25">
        <f>_xlfn.IFERROR(INDEX('Tabela PS'!$I:$Q,'Tabela PS'!C6,8),"")</f>
        <v>3023554.5</v>
      </c>
      <c r="AW6" s="25">
        <f>_xlfn.IFERROR(INDEX('Tabela PS'!$I:$Q,'Tabela PS'!C6,9),"")</f>
        <v>3593731.3</v>
      </c>
      <c r="AX6" s="25">
        <f>_xlfn.IFERROR(INDEX('Tabela PS'!$I:$R,'Tabela PS'!C6,10),"")</f>
        <v>3598034.4</v>
      </c>
      <c r="AY6" s="26">
        <f t="shared" si="14"/>
        <v>191.7346732961396</v>
      </c>
    </row>
    <row r="7" spans="2:51" ht="15">
      <c r="B7" s="8">
        <f t="shared" si="12"/>
        <v>6</v>
      </c>
      <c r="C7" s="9">
        <f>IF($A$2=1,"",_xlfn.IFERROR(MATCH($T$29,'Tabela PS'!D:D,0)+B6,""))</f>
        <v>129</v>
      </c>
      <c r="D7" s="28" t="s">
        <v>2738</v>
      </c>
      <c r="E7" s="21" t="s">
        <v>712</v>
      </c>
      <c r="F7" s="20" t="s">
        <v>671</v>
      </c>
      <c r="G7" s="28" t="s">
        <v>2739</v>
      </c>
      <c r="H7" s="20" t="s">
        <v>3325</v>
      </c>
      <c r="I7" s="335">
        <v>2631655.2</v>
      </c>
      <c r="J7" s="335">
        <v>998054.7</v>
      </c>
      <c r="K7" s="335">
        <v>1013350.3</v>
      </c>
      <c r="L7" s="335">
        <v>1057939.6</v>
      </c>
      <c r="M7" s="335">
        <v>929156.7</v>
      </c>
      <c r="N7" s="335">
        <v>899663.3</v>
      </c>
      <c r="O7" s="335">
        <v>823721.2</v>
      </c>
      <c r="P7" s="335">
        <v>850197.7</v>
      </c>
      <c r="Q7" s="335" t="s">
        <v>2740</v>
      </c>
      <c r="R7" s="335" t="s">
        <v>2740</v>
      </c>
      <c r="S7" s="22" t="s">
        <v>676</v>
      </c>
      <c r="T7" s="22" t="s">
        <v>133</v>
      </c>
      <c r="U7" s="22" t="s">
        <v>678</v>
      </c>
      <c r="V7" s="22">
        <v>3</v>
      </c>
      <c r="W7" s="22">
        <f t="shared" si="0"/>
        <v>17190744.3</v>
      </c>
      <c r="X7" s="22">
        <f t="shared" si="1"/>
        <v>15388231.2</v>
      </c>
      <c r="Y7" s="22">
        <f t="shared" si="2"/>
        <v>16207922.4</v>
      </c>
      <c r="Z7" s="22">
        <f t="shared" si="3"/>
        <v>16373681.3</v>
      </c>
      <c r="AA7" s="22">
        <f t="shared" si="4"/>
        <v>17298804.4</v>
      </c>
      <c r="AB7" s="22">
        <f t="shared" si="5"/>
        <v>17786810.1</v>
      </c>
      <c r="AC7" s="22">
        <f t="shared" si="6"/>
        <v>15296161.1</v>
      </c>
      <c r="AD7" s="22">
        <f t="shared" si="7"/>
        <v>17150243.1</v>
      </c>
      <c r="AE7" s="22">
        <f t="shared" si="8"/>
        <v>18155011.5</v>
      </c>
      <c r="AF7" s="22">
        <f t="shared" si="9"/>
        <v>17923609.1</v>
      </c>
      <c r="AG7" s="22">
        <f t="shared" si="10"/>
        <v>17923609.1</v>
      </c>
      <c r="AH7" s="96">
        <f t="shared" si="11"/>
        <v>98.7254075823637</v>
      </c>
      <c r="AI7" s="23" t="str">
        <f t="shared" si="13"/>
        <v/>
      </c>
      <c r="AL7" s="25">
        <v>6</v>
      </c>
      <c r="AM7" s="25" t="str">
        <f>_xlfn.IFERROR(INDEX('Tabela PS'!D:E,'Tabela PS'!C7,1),"")</f>
        <v>Pozostałe podstawowe chemikalia organiczne</v>
      </c>
      <c r="AN7" s="25" t="str">
        <f>_xlfn.IFERROR(INDEX('Tabela PS'!D:G,'Tabela PS'!C7,4),"")</f>
        <v>20.14</v>
      </c>
      <c r="AO7" s="25">
        <f>_xlfn.IFERROR(INDEX('Tabela PS'!$I:$Q,'Tabela PS'!C7,1),"")</f>
        <v>8873660.7</v>
      </c>
      <c r="AP7" s="25">
        <f>_xlfn.IFERROR(INDEX('Tabela PS'!$I:$Q,'Tabela PS'!C7,2),"")</f>
        <v>12548138.8</v>
      </c>
      <c r="AQ7" s="25">
        <f>_xlfn.IFERROR(INDEX('Tabela PS'!$I:$Q,'Tabela PS'!C7,3),"")</f>
        <v>13667902.7</v>
      </c>
      <c r="AR7" s="25">
        <f>_xlfn.IFERROR(INDEX('Tabela PS'!$I:$Q,'Tabela PS'!C7,4),"")</f>
        <v>13446187.7</v>
      </c>
      <c r="AS7" s="25">
        <f>_xlfn.IFERROR(INDEX('Tabela PS'!$I:$Q,'Tabela PS'!C7,5),"")</f>
        <v>12125364.4</v>
      </c>
      <c r="AT7" s="25">
        <f>_xlfn.IFERROR(INDEX('Tabela PS'!$I:$Q,'Tabela PS'!C7,6),"")</f>
        <v>11195460.8</v>
      </c>
      <c r="AU7" s="25">
        <f>_xlfn.IFERROR(INDEX('Tabela PS'!$I:$Q,'Tabela PS'!C7,7),"")</f>
        <v>10304948.4</v>
      </c>
      <c r="AV7" s="25">
        <f>_xlfn.IFERROR(INDEX('Tabela PS'!$I:$Q,'Tabela PS'!C7,8),"")</f>
        <v>11183679.7</v>
      </c>
      <c r="AW7" s="25">
        <f>_xlfn.IFERROR(INDEX('Tabela PS'!$I:$Q,'Tabela PS'!C7,9),"")</f>
        <v>11636375.3</v>
      </c>
      <c r="AX7" s="25">
        <f>_xlfn.IFERROR(INDEX('Tabela PS'!$I:$R,'Tabela PS'!C7,10),"")</f>
        <v>11929022.1</v>
      </c>
      <c r="AY7" s="26">
        <f t="shared" si="14"/>
        <v>134.431803325543</v>
      </c>
    </row>
    <row r="8" spans="2:51" ht="15">
      <c r="B8" s="8">
        <f t="shared" si="12"/>
        <v>7</v>
      </c>
      <c r="C8" s="9">
        <f>IF($A$2=1,"",_xlfn.IFERROR(MATCH($T$29,'Tabela PS'!D:D,0)+B7,""))</f>
        <v>130</v>
      </c>
      <c r="D8" s="20" t="s">
        <v>40</v>
      </c>
      <c r="E8" s="21" t="s">
        <v>721</v>
      </c>
      <c r="F8" s="20" t="s">
        <v>674</v>
      </c>
      <c r="G8" s="20" t="s">
        <v>674</v>
      </c>
      <c r="H8" s="20" t="s">
        <v>3326</v>
      </c>
      <c r="I8" s="335">
        <v>5842088.7</v>
      </c>
      <c r="J8" s="335">
        <v>7128294.6</v>
      </c>
      <c r="K8" s="335">
        <v>5686334.9</v>
      </c>
      <c r="L8" s="335">
        <v>5157227.4</v>
      </c>
      <c r="M8" s="335">
        <v>5184524.7</v>
      </c>
      <c r="N8" s="335">
        <v>5183431.5</v>
      </c>
      <c r="O8" s="335">
        <v>5128538.3</v>
      </c>
      <c r="P8" s="335">
        <v>5763500.8</v>
      </c>
      <c r="Q8" s="335">
        <v>6901428.1</v>
      </c>
      <c r="R8" s="335">
        <v>6966421.1</v>
      </c>
      <c r="S8" s="22" t="s">
        <v>677</v>
      </c>
      <c r="T8" s="22" t="s">
        <v>137</v>
      </c>
      <c r="U8" s="22" t="s">
        <v>679</v>
      </c>
      <c r="V8" s="22">
        <v>13</v>
      </c>
      <c r="W8" s="22">
        <f t="shared" si="0"/>
        <v>5111288</v>
      </c>
      <c r="X8" s="22">
        <f t="shared" si="1"/>
        <v>5514445</v>
      </c>
      <c r="Y8" s="22">
        <f t="shared" si="2"/>
        <v>6088862</v>
      </c>
      <c r="Z8" s="22">
        <f t="shared" si="3"/>
        <v>6178191.1</v>
      </c>
      <c r="AA8" s="22">
        <f t="shared" si="4"/>
        <v>6657284.3</v>
      </c>
      <c r="AB8" s="22">
        <f t="shared" si="5"/>
        <v>7151855.3</v>
      </c>
      <c r="AC8" s="22">
        <f t="shared" si="6"/>
        <v>7578463.4</v>
      </c>
      <c r="AD8" s="22">
        <f t="shared" si="7"/>
        <v>7734525.4</v>
      </c>
      <c r="AE8" s="22">
        <f t="shared" si="8"/>
        <v>8342485.6</v>
      </c>
      <c r="AF8" s="22">
        <f t="shared" si="9"/>
        <v>9365464.7</v>
      </c>
      <c r="AG8" s="22">
        <f t="shared" si="10"/>
        <v>9365464.7</v>
      </c>
      <c r="AH8" s="96">
        <f t="shared" si="11"/>
        <v>112.262281879156</v>
      </c>
      <c r="AI8" s="23" t="str">
        <f t="shared" si="13"/>
        <v/>
      </c>
      <c r="AL8" s="25">
        <v>7</v>
      </c>
      <c r="AM8" s="25" t="str">
        <f>_xlfn.IFERROR(INDEX('Tabela PS'!D:E,'Tabela PS'!C8,1),"")</f>
        <v>Nawozy i związki azotowe</v>
      </c>
      <c r="AN8" s="25" t="str">
        <f>_xlfn.IFERROR(INDEX('Tabela PS'!D:G,'Tabela PS'!C8,4),"")</f>
        <v>20.15</v>
      </c>
      <c r="AO8" s="25">
        <f>_xlfn.IFERROR(INDEX('Tabela PS'!$I:$Q,'Tabela PS'!C8,1),"")</f>
        <v>5791734</v>
      </c>
      <c r="AP8" s="25">
        <f>_xlfn.IFERROR(INDEX('Tabela PS'!$I:$Q,'Tabela PS'!C8,2),"")</f>
        <v>8162810.2</v>
      </c>
      <c r="AQ8" s="25">
        <f>_xlfn.IFERROR(INDEX('Tabela PS'!$I:$Q,'Tabela PS'!C8,3),"")</f>
        <v>9086272.3</v>
      </c>
      <c r="AR8" s="25">
        <f>_xlfn.IFERROR(INDEX('Tabela PS'!$I:$Q,'Tabela PS'!C8,4),"")</f>
        <v>8324731.7</v>
      </c>
      <c r="AS8" s="25">
        <f>_xlfn.IFERROR(INDEX('Tabela PS'!$I:$Q,'Tabela PS'!C8,5),"")</f>
        <v>8257355.3</v>
      </c>
      <c r="AT8" s="25">
        <f>_xlfn.IFERROR(INDEX('Tabela PS'!$I:$Q,'Tabela PS'!C8,6),"")</f>
        <v>9027334.9</v>
      </c>
      <c r="AU8" s="25">
        <f>_xlfn.IFERROR(INDEX('Tabela PS'!$I:$Q,'Tabela PS'!C8,7),"")</f>
        <v>7667409.8</v>
      </c>
      <c r="AV8" s="25">
        <f>_xlfn.IFERROR(INDEX('Tabela PS'!$I:$Q,'Tabela PS'!C8,8),"")</f>
        <v>7788990.6</v>
      </c>
      <c r="AW8" s="25">
        <f>_xlfn.IFERROR(INDEX('Tabela PS'!$I:$Q,'Tabela PS'!C8,9),"")</f>
        <v>7631142.9</v>
      </c>
      <c r="AX8" s="25">
        <f>_xlfn.IFERROR(INDEX('Tabela PS'!$I:$R,'Tabela PS'!C8,10),"")</f>
        <v>8190734</v>
      </c>
      <c r="AY8" s="26">
        <f t="shared" si="14"/>
        <v>141.4211011762626</v>
      </c>
    </row>
    <row r="9" spans="2:51" ht="15">
      <c r="B9" s="8">
        <f t="shared" si="12"/>
        <v>8</v>
      </c>
      <c r="C9" s="9">
        <f>IF($A$2=1,"",_xlfn.IFERROR(MATCH($T$29,'Tabela PS'!D:D,0)+B8,""))</f>
        <v>131</v>
      </c>
      <c r="D9" s="20" t="s">
        <v>2742</v>
      </c>
      <c r="E9" s="21" t="s">
        <v>722</v>
      </c>
      <c r="F9" s="20" t="s">
        <v>674</v>
      </c>
      <c r="G9" s="20" t="s">
        <v>2741</v>
      </c>
      <c r="H9" s="20" t="s">
        <v>3327</v>
      </c>
      <c r="I9" s="335">
        <v>5075061.2</v>
      </c>
      <c r="J9" s="335">
        <v>6253609.9</v>
      </c>
      <c r="K9" s="335">
        <v>4765035.5</v>
      </c>
      <c r="L9" s="335">
        <v>4246959.4</v>
      </c>
      <c r="M9" s="335">
        <v>4353377.2</v>
      </c>
      <c r="N9" s="335">
        <v>4327961.1</v>
      </c>
      <c r="O9" s="335">
        <v>4303897.7</v>
      </c>
      <c r="P9" s="335">
        <v>4958177.7</v>
      </c>
      <c r="Q9" s="335">
        <v>6040194.6</v>
      </c>
      <c r="R9" s="335">
        <v>6098676</v>
      </c>
      <c r="S9" s="22" t="s">
        <v>678</v>
      </c>
      <c r="T9" s="22" t="s">
        <v>163</v>
      </c>
      <c r="U9" s="22" t="s">
        <v>680</v>
      </c>
      <c r="V9" s="22">
        <v>12</v>
      </c>
      <c r="W9" s="22">
        <f t="shared" si="0"/>
        <v>4138088</v>
      </c>
      <c r="X9" s="22">
        <f t="shared" si="1"/>
        <v>4284773.6</v>
      </c>
      <c r="Y9" s="22">
        <f t="shared" si="2"/>
        <v>4205142.4</v>
      </c>
      <c r="Z9" s="22">
        <f t="shared" si="3"/>
        <v>4243782.7</v>
      </c>
      <c r="AA9" s="22">
        <f t="shared" si="4"/>
        <v>4357156.3</v>
      </c>
      <c r="AB9" s="22">
        <f t="shared" si="5"/>
        <v>4282341.2</v>
      </c>
      <c r="AC9" s="22">
        <f t="shared" si="6"/>
        <v>4605752.8</v>
      </c>
      <c r="AD9" s="22">
        <f t="shared" si="7"/>
        <v>4759026.5</v>
      </c>
      <c r="AE9" s="22">
        <f t="shared" si="8"/>
        <v>5008783.3</v>
      </c>
      <c r="AF9" s="22">
        <f t="shared" si="9"/>
        <v>5288203.7</v>
      </c>
      <c r="AG9" s="22">
        <f t="shared" si="10"/>
        <v>5288203.7</v>
      </c>
      <c r="AH9" s="96">
        <f t="shared" si="11"/>
        <v>105.57860828197538</v>
      </c>
      <c r="AI9" s="23" t="str">
        <f t="shared" si="13"/>
        <v/>
      </c>
      <c r="AL9" s="25">
        <v>8</v>
      </c>
      <c r="AM9" s="25" t="str">
        <f>_xlfn.IFERROR(INDEX('Tabela PS'!D:E,'Tabela PS'!C9,1),"")</f>
        <v>Tworzywa sztuczne w formach podstawowych</v>
      </c>
      <c r="AN9" s="25" t="str">
        <f>_xlfn.IFERROR(INDEX('Tabela PS'!D:G,'Tabela PS'!C9,4),"")</f>
        <v>20.16</v>
      </c>
      <c r="AO9" s="25">
        <f>_xlfn.IFERROR(INDEX('Tabela PS'!$I:$Q,'Tabela PS'!C9,1),"")</f>
        <v>8266623.6</v>
      </c>
      <c r="AP9" s="25">
        <f>_xlfn.IFERROR(INDEX('Tabela PS'!$I:$Q,'Tabela PS'!C9,2),"")</f>
        <v>10052628.8</v>
      </c>
      <c r="AQ9" s="25">
        <f>_xlfn.IFERROR(INDEX('Tabela PS'!$I:$Q,'Tabela PS'!C9,3),"")</f>
        <v>10645296.5</v>
      </c>
      <c r="AR9" s="25">
        <f>_xlfn.IFERROR(INDEX('Tabela PS'!$I:$Q,'Tabela PS'!C9,4),"")</f>
        <v>11394519.1</v>
      </c>
      <c r="AS9" s="25">
        <f>_xlfn.IFERROR(INDEX('Tabela PS'!$I:$Q,'Tabela PS'!C9,5),"")</f>
        <v>11185236</v>
      </c>
      <c r="AT9" s="25">
        <f>_xlfn.IFERROR(INDEX('Tabela PS'!$I:$Q,'Tabela PS'!C9,6),"")</f>
        <v>11986302.7</v>
      </c>
      <c r="AU9" s="25">
        <f>_xlfn.IFERROR(INDEX('Tabela PS'!$I:$Q,'Tabela PS'!C9,7),"")</f>
        <v>11061794</v>
      </c>
      <c r="AV9" s="25">
        <f>_xlfn.IFERROR(INDEX('Tabela PS'!$I:$Q,'Tabela PS'!C9,8),"")</f>
        <v>12475261.4</v>
      </c>
      <c r="AW9" s="25">
        <f>_xlfn.IFERROR(INDEX('Tabela PS'!$I:$Q,'Tabela PS'!C9,9),"")</f>
        <v>13049213.1</v>
      </c>
      <c r="AX9" s="25">
        <f>_xlfn.IFERROR(INDEX('Tabela PS'!$I:$R,'Tabela PS'!C9,10),"")</f>
        <v>13221152.3</v>
      </c>
      <c r="AY9" s="26">
        <f t="shared" si="14"/>
        <v>159.93412715682376</v>
      </c>
    </row>
    <row r="10" spans="2:51" ht="15">
      <c r="B10" s="8">
        <f t="shared" si="12"/>
        <v>9</v>
      </c>
      <c r="C10" s="9">
        <f>IF($A$2=1,"",_xlfn.IFERROR(MATCH($T$29,'Tabela PS'!D:D,0)+B9,""))</f>
        <v>132</v>
      </c>
      <c r="D10" s="28" t="s">
        <v>2744</v>
      </c>
      <c r="E10" s="21" t="s">
        <v>723</v>
      </c>
      <c r="F10" s="20" t="s">
        <v>674</v>
      </c>
      <c r="G10" s="28" t="s">
        <v>2743</v>
      </c>
      <c r="H10" s="20" t="s">
        <v>3328</v>
      </c>
      <c r="I10" s="335">
        <v>1046999.4</v>
      </c>
      <c r="J10" s="335">
        <v>1280382.7</v>
      </c>
      <c r="K10" s="335">
        <v>1194900.6</v>
      </c>
      <c r="L10" s="335">
        <v>1105438.1</v>
      </c>
      <c r="M10" s="335">
        <v>1171852.7</v>
      </c>
      <c r="N10" s="335">
        <v>1057510.2</v>
      </c>
      <c r="O10" s="335">
        <v>1055189.1</v>
      </c>
      <c r="P10" s="335">
        <v>1147296</v>
      </c>
      <c r="Q10" s="335">
        <v>1246671.8</v>
      </c>
      <c r="R10" s="335">
        <v>1294853.3</v>
      </c>
      <c r="S10" s="22" t="s">
        <v>679</v>
      </c>
      <c r="T10" s="22" t="s">
        <v>183</v>
      </c>
      <c r="U10" s="22" t="s">
        <v>667</v>
      </c>
      <c r="V10" s="22">
        <v>6</v>
      </c>
      <c r="W10" s="22">
        <f t="shared" si="0"/>
        <v>2414132.7</v>
      </c>
      <c r="X10" s="22">
        <f t="shared" si="1"/>
        <v>2695986.6</v>
      </c>
      <c r="Y10" s="22">
        <f t="shared" si="2"/>
        <v>2742087.6</v>
      </c>
      <c r="Z10" s="22">
        <f t="shared" si="3"/>
        <v>3077519.8</v>
      </c>
      <c r="AA10" s="22">
        <f t="shared" si="4"/>
        <v>3319993.1</v>
      </c>
      <c r="AB10" s="22">
        <f t="shared" si="5"/>
        <v>2385823.8</v>
      </c>
      <c r="AC10" s="22">
        <f t="shared" si="6"/>
        <v>2563094.4</v>
      </c>
      <c r="AD10" s="22">
        <f t="shared" si="7"/>
        <v>2796829.3</v>
      </c>
      <c r="AE10" s="22">
        <f t="shared" si="8"/>
        <v>2573164.8</v>
      </c>
      <c r="AF10" s="22">
        <f t="shared" si="9"/>
        <v>2482043.1</v>
      </c>
      <c r="AG10" s="22">
        <f t="shared" si="10"/>
        <v>2482043.1</v>
      </c>
      <c r="AH10" s="96">
        <f t="shared" si="11"/>
        <v>96.4587693722532</v>
      </c>
      <c r="AI10" s="23" t="str">
        <f t="shared" si="13"/>
        <v/>
      </c>
      <c r="AL10" s="25">
        <v>9</v>
      </c>
      <c r="AM10" s="25" t="str">
        <f>_xlfn.IFERROR(INDEX('Tabela PS'!D:E,'Tabela PS'!C10,1),"")</f>
        <v>Kauczuk syntetyczny w formach podstawowych</v>
      </c>
      <c r="AN10" s="25" t="str">
        <f>_xlfn.IFERROR(INDEX('Tabela PS'!D:G,'Tabela PS'!C10,4),"")</f>
        <v>20.17</v>
      </c>
      <c r="AO10" s="25" t="str">
        <f>_xlfn.IFERROR(INDEX('Tabela PS'!$I:$Q,'Tabela PS'!C10,1),"")</f>
        <v>#</v>
      </c>
      <c r="AP10" s="25" t="str">
        <f>_xlfn.IFERROR(INDEX('Tabela PS'!$I:$Q,'Tabela PS'!C10,2),"")</f>
        <v>#</v>
      </c>
      <c r="AQ10" s="25" t="str">
        <f>_xlfn.IFERROR(INDEX('Tabela PS'!$I:$Q,'Tabela PS'!C10,3),"")</f>
        <v>#</v>
      </c>
      <c r="AR10" s="25" t="str">
        <f>_xlfn.IFERROR(INDEX('Tabela PS'!$I:$Q,'Tabela PS'!C10,4),"")</f>
        <v>#</v>
      </c>
      <c r="AS10" s="25" t="str">
        <f>_xlfn.IFERROR(INDEX('Tabela PS'!$I:$Q,'Tabela PS'!C10,5),"")</f>
        <v>#</v>
      </c>
      <c r="AT10" s="25" t="str">
        <f>_xlfn.IFERROR(INDEX('Tabela PS'!$I:$Q,'Tabela PS'!C10,6),"")</f>
        <v>#</v>
      </c>
      <c r="AU10" s="25">
        <f>_xlfn.IFERROR(INDEX('Tabela PS'!$I:$Q,'Tabela PS'!C10,7),"")</f>
        <v>1192699.6</v>
      </c>
      <c r="AV10" s="25">
        <f>_xlfn.IFERROR(INDEX('Tabela PS'!$I:$Q,'Tabela PS'!C10,8),"")</f>
        <v>1662739.9</v>
      </c>
      <c r="AW10" s="25">
        <f>_xlfn.IFERROR(INDEX('Tabela PS'!$I:$Q,'Tabela PS'!C10,9),"")</f>
        <v>1616837.4</v>
      </c>
      <c r="AX10" s="25">
        <f>_xlfn.IFERROR(INDEX('Tabela PS'!$I:$R,'Tabela PS'!C10,10),"")</f>
        <v>1541063.9</v>
      </c>
      <c r="AY10" s="26" t="str">
        <f t="shared" si="14"/>
        <v/>
      </c>
    </row>
    <row r="11" spans="2:51" ht="15">
      <c r="B11" s="8">
        <f t="shared" si="12"/>
        <v>10</v>
      </c>
      <c r="C11" s="9">
        <f>IF($A$2=1,"",_xlfn.IFERROR(MATCH($T$29,'Tabela PS'!D:D,0)+B10,""))</f>
        <v>133</v>
      </c>
      <c r="D11" s="28" t="s">
        <v>2746</v>
      </c>
      <c r="E11" s="21" t="s">
        <v>724</v>
      </c>
      <c r="F11" s="20" t="s">
        <v>674</v>
      </c>
      <c r="G11" s="28" t="s">
        <v>2745</v>
      </c>
      <c r="H11" s="20" t="s">
        <v>3329</v>
      </c>
      <c r="I11" s="335">
        <v>4028061.8</v>
      </c>
      <c r="J11" s="335">
        <v>4973227.2</v>
      </c>
      <c r="K11" s="335">
        <v>3570134.9</v>
      </c>
      <c r="L11" s="335">
        <v>3141521.3</v>
      </c>
      <c r="M11" s="335">
        <v>3181524.5</v>
      </c>
      <c r="N11" s="335">
        <v>3270450.9</v>
      </c>
      <c r="O11" s="335">
        <v>3248708.6</v>
      </c>
      <c r="P11" s="335">
        <v>3810881.7</v>
      </c>
      <c r="Q11" s="335">
        <v>4793522.8</v>
      </c>
      <c r="R11" s="335">
        <v>4803822.7</v>
      </c>
      <c r="S11" s="22" t="s">
        <v>680</v>
      </c>
      <c r="T11" s="22" t="s">
        <v>191</v>
      </c>
      <c r="U11" s="22" t="s">
        <v>681</v>
      </c>
      <c r="V11" s="22">
        <v>9</v>
      </c>
      <c r="W11" s="22">
        <f t="shared" si="0"/>
        <v>16844743.7</v>
      </c>
      <c r="X11" s="22">
        <f t="shared" si="1"/>
        <v>19184032.5</v>
      </c>
      <c r="Y11" s="22">
        <f t="shared" si="2"/>
        <v>19917679.5</v>
      </c>
      <c r="Z11" s="22">
        <f t="shared" si="3"/>
        <v>20555766.4</v>
      </c>
      <c r="AA11" s="22">
        <f t="shared" si="4"/>
        <v>22327716.5</v>
      </c>
      <c r="AB11" s="22">
        <f t="shared" si="5"/>
        <v>23487994.7</v>
      </c>
      <c r="AC11" s="22">
        <f t="shared" si="6"/>
        <v>25327733.6</v>
      </c>
      <c r="AD11" s="22">
        <f t="shared" si="7"/>
        <v>27046213.5</v>
      </c>
      <c r="AE11" s="22">
        <f t="shared" si="8"/>
        <v>28372842.9</v>
      </c>
      <c r="AF11" s="22">
        <f t="shared" si="9"/>
        <v>28331403.5</v>
      </c>
      <c r="AG11" s="22">
        <f t="shared" si="10"/>
        <v>28331403.5</v>
      </c>
      <c r="AH11" s="96">
        <f t="shared" si="11"/>
        <v>99.85394695855452</v>
      </c>
      <c r="AI11" s="23" t="str">
        <f t="shared" si="13"/>
        <v/>
      </c>
      <c r="AL11" s="25">
        <v>10</v>
      </c>
      <c r="AM11" s="25" t="str">
        <f>_xlfn.IFERROR(INDEX('Tabela PS'!D:E,'Tabela PS'!C11,1),"")</f>
        <v>Pestycydy i pozostałe środki agrochemiczne</v>
      </c>
      <c r="AN11" s="25" t="str">
        <f>_xlfn.IFERROR(INDEX('Tabela PS'!D:G,'Tabela PS'!C11,4),"")</f>
        <v>20.2</v>
      </c>
      <c r="AO11" s="25">
        <f>_xlfn.IFERROR(INDEX('Tabela PS'!$I:$Q,'Tabela PS'!C11,1),"")</f>
        <v>365824.1</v>
      </c>
      <c r="AP11" s="25">
        <f>_xlfn.IFERROR(INDEX('Tabela PS'!$I:$Q,'Tabela PS'!C11,2),"")</f>
        <v>374023.6</v>
      </c>
      <c r="AQ11" s="25">
        <f>_xlfn.IFERROR(INDEX('Tabela PS'!$I:$Q,'Tabela PS'!C11,3),"")</f>
        <v>375757.1</v>
      </c>
      <c r="AR11" s="25">
        <f>_xlfn.IFERROR(INDEX('Tabela PS'!$I:$Q,'Tabela PS'!C11,4),"")</f>
        <v>443238</v>
      </c>
      <c r="AS11" s="25">
        <f>_xlfn.IFERROR(INDEX('Tabela PS'!$I:$Q,'Tabela PS'!C11,5),"")</f>
        <v>475784.3</v>
      </c>
      <c r="AT11" s="25">
        <f>_xlfn.IFERROR(INDEX('Tabela PS'!$I:$Q,'Tabela PS'!C11,6),"")</f>
        <v>499013.4</v>
      </c>
      <c r="AU11" s="25">
        <f>_xlfn.IFERROR(INDEX('Tabela PS'!$I:$Q,'Tabela PS'!C11,7),"")</f>
        <v>571245.9</v>
      </c>
      <c r="AV11" s="25">
        <f>_xlfn.IFERROR(INDEX('Tabela PS'!$I:$Q,'Tabela PS'!C11,8),"")</f>
        <v>707957.1</v>
      </c>
      <c r="AW11" s="25">
        <f>_xlfn.IFERROR(INDEX('Tabela PS'!$I:$Q,'Tabela PS'!C11,9),"")</f>
        <v>766173.5</v>
      </c>
      <c r="AX11" s="25">
        <f>_xlfn.IFERROR(INDEX('Tabela PS'!$I:$R,'Tabela PS'!C11,10),"")</f>
        <v>789237.9</v>
      </c>
      <c r="AY11" s="26">
        <f t="shared" si="14"/>
        <v>215.74245655220642</v>
      </c>
    </row>
    <row r="12" spans="2:51" ht="15">
      <c r="B12" s="8">
        <f t="shared" si="12"/>
        <v>11</v>
      </c>
      <c r="C12" s="9">
        <f>IF($A$2=1,"",_xlfn.IFERROR(MATCH($T$29,'Tabela PS'!D:D,0)+B11,""))</f>
        <v>134</v>
      </c>
      <c r="D12" s="20" t="s">
        <v>2748</v>
      </c>
      <c r="E12" s="21" t="s">
        <v>725</v>
      </c>
      <c r="F12" s="20" t="s">
        <v>674</v>
      </c>
      <c r="G12" s="20" t="s">
        <v>2747</v>
      </c>
      <c r="H12" s="20" t="s">
        <v>3330</v>
      </c>
      <c r="I12" s="335">
        <v>767027.5</v>
      </c>
      <c r="J12" s="335">
        <v>874684.7</v>
      </c>
      <c r="K12" s="335">
        <v>921299.4</v>
      </c>
      <c r="L12" s="335">
        <v>910268</v>
      </c>
      <c r="M12" s="335">
        <v>831147.5</v>
      </c>
      <c r="N12" s="335">
        <v>855470.4</v>
      </c>
      <c r="O12" s="335">
        <v>824640.6</v>
      </c>
      <c r="P12" s="335">
        <v>805323.1</v>
      </c>
      <c r="Q12" s="335">
        <v>861233.5</v>
      </c>
      <c r="R12" s="335">
        <v>867745.1</v>
      </c>
      <c r="S12" s="22" t="s">
        <v>667</v>
      </c>
      <c r="T12" s="22" t="s">
        <v>207</v>
      </c>
      <c r="U12" s="22" t="s">
        <v>682</v>
      </c>
      <c r="V12" s="22">
        <v>10</v>
      </c>
      <c r="W12" s="22">
        <f t="shared" si="0"/>
        <v>22076907.7</v>
      </c>
      <c r="X12" s="22">
        <f t="shared" si="1"/>
        <v>25805246.8</v>
      </c>
      <c r="Y12" s="22">
        <f t="shared" si="2"/>
        <v>26855199</v>
      </c>
      <c r="Z12" s="22">
        <f t="shared" si="3"/>
        <v>29363060.3</v>
      </c>
      <c r="AA12" s="22">
        <f t="shared" si="4"/>
        <v>31229005.8</v>
      </c>
      <c r="AB12" s="22">
        <f t="shared" si="5"/>
        <v>34104652.3</v>
      </c>
      <c r="AC12" s="22">
        <f t="shared" si="6"/>
        <v>35912966.4</v>
      </c>
      <c r="AD12" s="22">
        <f t="shared" si="7"/>
        <v>38710423.8</v>
      </c>
      <c r="AE12" s="22">
        <f t="shared" si="8"/>
        <v>42386084.5</v>
      </c>
      <c r="AF12" s="22">
        <f t="shared" si="9"/>
        <v>43533360.8</v>
      </c>
      <c r="AG12" s="22">
        <f t="shared" si="10"/>
        <v>43533360.8</v>
      </c>
      <c r="AH12" s="96">
        <f t="shared" si="11"/>
        <v>102.70672866704638</v>
      </c>
      <c r="AI12" s="23" t="str">
        <f t="shared" si="13"/>
        <v/>
      </c>
      <c r="AL12" s="25">
        <v>11</v>
      </c>
      <c r="AM12" s="25" t="str">
        <f>_xlfn.IFERROR(INDEX('Tabela PS'!D:E,'Tabela PS'!C12,1),"")</f>
        <v>Pestycydy i pozostałe środki agrochemiczne</v>
      </c>
      <c r="AN12" s="25" t="str">
        <f>_xlfn.IFERROR(INDEX('Tabela PS'!D:G,'Tabela PS'!C12,4),"")</f>
        <v>20.20</v>
      </c>
      <c r="AO12" s="25">
        <f>_xlfn.IFERROR(INDEX('Tabela PS'!$I:$Q,'Tabela PS'!C12,1),"")</f>
        <v>365824.1</v>
      </c>
      <c r="AP12" s="25">
        <f>_xlfn.IFERROR(INDEX('Tabela PS'!$I:$Q,'Tabela PS'!C12,2),"")</f>
        <v>374023.6</v>
      </c>
      <c r="AQ12" s="25">
        <f>_xlfn.IFERROR(INDEX('Tabela PS'!$I:$Q,'Tabela PS'!C12,3),"")</f>
        <v>375757.1</v>
      </c>
      <c r="AR12" s="25">
        <f>_xlfn.IFERROR(INDEX('Tabela PS'!$I:$Q,'Tabela PS'!C12,4),"")</f>
        <v>443238</v>
      </c>
      <c r="AS12" s="25">
        <f>_xlfn.IFERROR(INDEX('Tabela PS'!$I:$Q,'Tabela PS'!C12,5),"")</f>
        <v>475784.3</v>
      </c>
      <c r="AT12" s="25">
        <f>_xlfn.IFERROR(INDEX('Tabela PS'!$I:$Q,'Tabela PS'!C12,6),"")</f>
        <v>499013.4</v>
      </c>
      <c r="AU12" s="25">
        <f>_xlfn.IFERROR(INDEX('Tabela PS'!$I:$Q,'Tabela PS'!C12,7),"")</f>
        <v>571245.9</v>
      </c>
      <c r="AV12" s="25">
        <f>_xlfn.IFERROR(INDEX('Tabela PS'!$I:$Q,'Tabela PS'!C12,8),"")</f>
        <v>707957.1</v>
      </c>
      <c r="AW12" s="25">
        <f>_xlfn.IFERROR(INDEX('Tabela PS'!$I:$Q,'Tabela PS'!C12,9),"")</f>
        <v>766173.5</v>
      </c>
      <c r="AX12" s="25">
        <f>_xlfn.IFERROR(INDEX('Tabela PS'!$I:$R,'Tabela PS'!C12,10),"")</f>
        <v>789237.9</v>
      </c>
      <c r="AY12" s="26">
        <f t="shared" si="14"/>
        <v>215.74245655220642</v>
      </c>
    </row>
    <row r="13" spans="2:51" ht="15">
      <c r="B13" s="8">
        <f t="shared" si="12"/>
        <v>12</v>
      </c>
      <c r="C13" s="9">
        <f>IF($A$2=1,"",_xlfn.IFERROR(MATCH($T$29,'Tabela PS'!D:D,0)+B12,""))</f>
        <v>135</v>
      </c>
      <c r="D13" s="28" t="s">
        <v>2750</v>
      </c>
      <c r="E13" s="21" t="s">
        <v>726</v>
      </c>
      <c r="F13" s="20" t="s">
        <v>674</v>
      </c>
      <c r="G13" s="28" t="s">
        <v>2749</v>
      </c>
      <c r="H13" s="20" t="s">
        <v>3331</v>
      </c>
      <c r="I13" s="336" t="s">
        <v>2740</v>
      </c>
      <c r="J13" s="335" t="s">
        <v>2740</v>
      </c>
      <c r="K13" s="335" t="s">
        <v>2740</v>
      </c>
      <c r="L13" s="335" t="s">
        <v>2740</v>
      </c>
      <c r="M13" s="335" t="s">
        <v>2740</v>
      </c>
      <c r="N13" s="335" t="s">
        <v>2740</v>
      </c>
      <c r="O13" s="335" t="s">
        <v>2740</v>
      </c>
      <c r="P13" s="335" t="s">
        <v>2740</v>
      </c>
      <c r="Q13" s="335" t="s">
        <v>2740</v>
      </c>
      <c r="R13" s="335" t="s">
        <v>2740</v>
      </c>
      <c r="S13" s="22" t="s">
        <v>681</v>
      </c>
      <c r="T13" s="22" t="s">
        <v>2918</v>
      </c>
      <c r="U13" s="22" t="s">
        <v>683</v>
      </c>
      <c r="V13" s="22">
        <v>5</v>
      </c>
      <c r="W13" s="22">
        <f t="shared" si="0"/>
        <v>6569303.2</v>
      </c>
      <c r="X13" s="22">
        <f t="shared" si="1"/>
        <v>6189912.6</v>
      </c>
      <c r="Y13" s="22">
        <f t="shared" si="2"/>
        <v>6089494.3</v>
      </c>
      <c r="Z13" s="22">
        <f t="shared" si="3"/>
        <v>6343758.3</v>
      </c>
      <c r="AA13" s="22">
        <f t="shared" si="4"/>
        <v>6674480</v>
      </c>
      <c r="AB13" s="22">
        <f t="shared" si="5"/>
        <v>6799536</v>
      </c>
      <c r="AC13" s="22">
        <f t="shared" si="6"/>
        <v>6931963.4</v>
      </c>
      <c r="AD13" s="22">
        <f t="shared" si="7"/>
        <v>7803807.5</v>
      </c>
      <c r="AE13" s="22">
        <f t="shared" si="8"/>
        <v>7791634</v>
      </c>
      <c r="AF13" s="22">
        <f t="shared" si="9"/>
        <v>7834035.8</v>
      </c>
      <c r="AG13" s="22">
        <f t="shared" si="10"/>
        <v>7834035.8</v>
      </c>
      <c r="AH13" s="96">
        <f t="shared" si="11"/>
        <v>100.54419650615006</v>
      </c>
      <c r="AI13" s="23" t="str">
        <f t="shared" si="13"/>
        <v/>
      </c>
      <c r="AL13" s="25">
        <v>12</v>
      </c>
      <c r="AM13" s="25" t="str">
        <f>_xlfn.IFERROR(INDEX('Tabela PS'!D:E,'Tabela PS'!C13,1),"")</f>
        <v>Farby, lakiery i podobne środki pokrywające, farba drukarska, gotowe sykatywy i masy uszczelniające</v>
      </c>
      <c r="AN13" s="25" t="str">
        <f>_xlfn.IFERROR(INDEX('Tabela PS'!D:G,'Tabela PS'!C13,4),"")</f>
        <v>20.3</v>
      </c>
      <c r="AO13" s="25">
        <f>_xlfn.IFERROR(INDEX('Tabela PS'!$I:$Q,'Tabela PS'!C13,1),"")</f>
        <v>3756929.7</v>
      </c>
      <c r="AP13" s="25">
        <f>_xlfn.IFERROR(INDEX('Tabela PS'!$I:$Q,'Tabela PS'!C13,2),"")</f>
        <v>4543589.2</v>
      </c>
      <c r="AQ13" s="25">
        <f>_xlfn.IFERROR(INDEX('Tabela PS'!$I:$Q,'Tabela PS'!C13,3),"")</f>
        <v>4926167</v>
      </c>
      <c r="AR13" s="25">
        <f>_xlfn.IFERROR(INDEX('Tabela PS'!$I:$Q,'Tabela PS'!C13,4),"")</f>
        <v>5002376.4</v>
      </c>
      <c r="AS13" s="25">
        <f>_xlfn.IFERROR(INDEX('Tabela PS'!$I:$Q,'Tabela PS'!C13,5),"")</f>
        <v>5310203.7</v>
      </c>
      <c r="AT13" s="25">
        <f>_xlfn.IFERROR(INDEX('Tabela PS'!$I:$Q,'Tabela PS'!C13,6),"")</f>
        <v>5005198.1</v>
      </c>
      <c r="AU13" s="25">
        <f>_xlfn.IFERROR(INDEX('Tabela PS'!$I:$Q,'Tabela PS'!C13,7),"")</f>
        <v>5320920.6</v>
      </c>
      <c r="AV13" s="25">
        <f>_xlfn.IFERROR(INDEX('Tabela PS'!$I:$Q,'Tabela PS'!C13,8),"")</f>
        <v>5371509.9</v>
      </c>
      <c r="AW13" s="25">
        <f>_xlfn.IFERROR(INDEX('Tabela PS'!$I:$Q,'Tabela PS'!C13,9),"")</f>
        <v>5832338.5</v>
      </c>
      <c r="AX13" s="25">
        <f>_xlfn.IFERROR(INDEX('Tabela PS'!$I:$R,'Tabela PS'!C13,10),"")</f>
        <v>6120422.6</v>
      </c>
      <c r="AY13" s="26">
        <f t="shared" si="14"/>
        <v>162.91022427169716</v>
      </c>
    </row>
    <row r="14" spans="2:51" ht="15">
      <c r="B14" s="8">
        <f t="shared" si="12"/>
        <v>13</v>
      </c>
      <c r="C14" s="9">
        <f>IF($A$2=1,"",_xlfn.IFERROR(MATCH($T$29,'Tabela PS'!D:D,0)+B13,""))</f>
        <v>136</v>
      </c>
      <c r="D14" s="28" t="s">
        <v>2752</v>
      </c>
      <c r="E14" s="21" t="s">
        <v>727</v>
      </c>
      <c r="F14" s="20" t="s">
        <v>674</v>
      </c>
      <c r="G14" s="28" t="s">
        <v>2751</v>
      </c>
      <c r="H14" s="20" t="s">
        <v>3332</v>
      </c>
      <c r="I14" s="336" t="s">
        <v>2740</v>
      </c>
      <c r="J14" s="335" t="s">
        <v>2740</v>
      </c>
      <c r="K14" s="335">
        <v>143744.1</v>
      </c>
      <c r="L14" s="335">
        <v>161966</v>
      </c>
      <c r="M14" s="335">
        <v>164347.2</v>
      </c>
      <c r="N14" s="335">
        <v>175282.9</v>
      </c>
      <c r="O14" s="335">
        <v>186154</v>
      </c>
      <c r="P14" s="335">
        <v>182460.9</v>
      </c>
      <c r="Q14" s="335">
        <v>170630.5</v>
      </c>
      <c r="R14" s="335">
        <v>198960.4</v>
      </c>
      <c r="S14" s="22" t="s">
        <v>682</v>
      </c>
      <c r="T14" s="22" t="s">
        <v>220</v>
      </c>
      <c r="U14" s="22" t="s">
        <v>684</v>
      </c>
      <c r="V14" s="22">
        <v>5</v>
      </c>
      <c r="W14" s="22">
        <f t="shared" si="0"/>
        <v>74139971.1</v>
      </c>
      <c r="X14" s="22">
        <f t="shared" si="1"/>
        <v>95646064.6</v>
      </c>
      <c r="Y14" s="22">
        <f t="shared" si="2"/>
        <v>102373749.2</v>
      </c>
      <c r="Z14" s="22">
        <f t="shared" si="3"/>
        <v>101825919.7</v>
      </c>
      <c r="AA14" s="22">
        <f t="shared" si="4"/>
        <v>96015133.7</v>
      </c>
      <c r="AB14" s="22">
        <f t="shared" si="5"/>
        <v>81794663.8</v>
      </c>
      <c r="AC14" s="22">
        <f t="shared" si="6"/>
        <v>76045830.2</v>
      </c>
      <c r="AD14" s="22">
        <f t="shared" si="7"/>
        <v>88078960.2</v>
      </c>
      <c r="AE14" s="22">
        <f t="shared" si="8"/>
        <v>98919003</v>
      </c>
      <c r="AF14" s="22">
        <f t="shared" si="9"/>
        <v>99666030.5</v>
      </c>
      <c r="AG14" s="22">
        <f t="shared" si="10"/>
        <v>99666030.5</v>
      </c>
      <c r="AH14" s="96">
        <f t="shared" si="11"/>
        <v>100.75519109306026</v>
      </c>
      <c r="AI14" s="23" t="str">
        <f t="shared" si="13"/>
        <v/>
      </c>
      <c r="AL14" s="25">
        <v>13</v>
      </c>
      <c r="AM14" s="25" t="str">
        <f>_xlfn.IFERROR(INDEX('Tabela PS'!D:E,'Tabela PS'!C14,1),"")</f>
        <v>Farby, lakiery i podobne środki pokrywające, farba drukarska, gotowe sykatywy i masy uszczelniające</v>
      </c>
      <c r="AN14" s="25" t="str">
        <f>_xlfn.IFERROR(INDEX('Tabela PS'!D:G,'Tabela PS'!C14,4),"")</f>
        <v>20.30</v>
      </c>
      <c r="AO14" s="25">
        <f>_xlfn.IFERROR(INDEX('Tabela PS'!$I:$Q,'Tabela PS'!C14,1),"")</f>
        <v>3756929.7</v>
      </c>
      <c r="AP14" s="25">
        <f>_xlfn.IFERROR(INDEX('Tabela PS'!$I:$Q,'Tabela PS'!C14,2),"")</f>
        <v>4543589.2</v>
      </c>
      <c r="AQ14" s="25">
        <f>_xlfn.IFERROR(INDEX('Tabela PS'!$I:$Q,'Tabela PS'!C14,3),"")</f>
        <v>4926167</v>
      </c>
      <c r="AR14" s="25">
        <f>_xlfn.IFERROR(INDEX('Tabela PS'!$I:$Q,'Tabela PS'!C14,4),"")</f>
        <v>5002376.4</v>
      </c>
      <c r="AS14" s="25">
        <f>_xlfn.IFERROR(INDEX('Tabela PS'!$I:$Q,'Tabela PS'!C14,5),"")</f>
        <v>5310203.7</v>
      </c>
      <c r="AT14" s="25">
        <f>_xlfn.IFERROR(INDEX('Tabela PS'!$I:$Q,'Tabela PS'!C14,6),"")</f>
        <v>5005198.1</v>
      </c>
      <c r="AU14" s="25">
        <f>_xlfn.IFERROR(INDEX('Tabela PS'!$I:$Q,'Tabela PS'!C14,7),"")</f>
        <v>5320920.6</v>
      </c>
      <c r="AV14" s="25">
        <f>_xlfn.IFERROR(INDEX('Tabela PS'!$I:$Q,'Tabela PS'!C14,8),"")</f>
        <v>5371509.9</v>
      </c>
      <c r="AW14" s="25">
        <f>_xlfn.IFERROR(INDEX('Tabela PS'!$I:$Q,'Tabela PS'!C14,9),"")</f>
        <v>5832338.5</v>
      </c>
      <c r="AX14" s="25">
        <f>_xlfn.IFERROR(INDEX('Tabela PS'!$I:$R,'Tabela PS'!C14,10),"")</f>
        <v>6120422.6</v>
      </c>
      <c r="AY14" s="26">
        <f t="shared" si="14"/>
        <v>162.91022427169716</v>
      </c>
    </row>
    <row r="15" spans="2:51" ht="15">
      <c r="B15" s="8">
        <f t="shared" si="12"/>
        <v>14</v>
      </c>
      <c r="C15" s="9">
        <f>IF($A$2=1,"",_xlfn.IFERROR(MATCH($T$29,'Tabela PS'!D:D,0)+B14,""))</f>
        <v>137</v>
      </c>
      <c r="D15" s="28" t="s">
        <v>2754</v>
      </c>
      <c r="E15" s="21" t="s">
        <v>728</v>
      </c>
      <c r="F15" s="20" t="s">
        <v>674</v>
      </c>
      <c r="G15" s="28" t="s">
        <v>2753</v>
      </c>
      <c r="H15" s="20" t="s">
        <v>3333</v>
      </c>
      <c r="I15" s="335">
        <v>337423.3</v>
      </c>
      <c r="J15" s="335">
        <v>345655.8</v>
      </c>
      <c r="K15" s="335">
        <v>304042.6</v>
      </c>
      <c r="L15" s="335">
        <v>412099.4</v>
      </c>
      <c r="M15" s="335">
        <v>272494.6</v>
      </c>
      <c r="N15" s="335">
        <v>270024</v>
      </c>
      <c r="O15" s="335">
        <v>286934.4</v>
      </c>
      <c r="P15" s="335">
        <v>332478.9</v>
      </c>
      <c r="Q15" s="335">
        <v>337414</v>
      </c>
      <c r="R15" s="335">
        <v>380952.2</v>
      </c>
      <c r="S15" s="22" t="s">
        <v>683</v>
      </c>
      <c r="T15" s="22" t="s">
        <v>232</v>
      </c>
      <c r="U15" s="22" t="s">
        <v>662</v>
      </c>
      <c r="V15" s="22">
        <v>23</v>
      </c>
      <c r="W15" s="22">
        <f t="shared" si="0"/>
        <v>43997362.7</v>
      </c>
      <c r="X15" s="22">
        <f t="shared" si="1"/>
        <v>56432043.4</v>
      </c>
      <c r="Y15" s="22">
        <f t="shared" si="2"/>
        <v>60913892.5</v>
      </c>
      <c r="Z15" s="22">
        <f t="shared" si="3"/>
        <v>61219403.5</v>
      </c>
      <c r="AA15" s="22">
        <f t="shared" si="4"/>
        <v>59023634.7</v>
      </c>
      <c r="AB15" s="22">
        <f t="shared" si="5"/>
        <v>60753386.9</v>
      </c>
      <c r="AC15" s="22">
        <f t="shared" si="6"/>
        <v>61122833.2</v>
      </c>
      <c r="AD15" s="22">
        <f t="shared" si="7"/>
        <v>65853552.6</v>
      </c>
      <c r="AE15" s="22">
        <f t="shared" si="8"/>
        <v>67388819.8</v>
      </c>
      <c r="AF15" s="22">
        <f t="shared" si="9"/>
        <v>69949700.1</v>
      </c>
      <c r="AG15" s="22">
        <f t="shared" si="10"/>
        <v>69949700.1</v>
      </c>
      <c r="AH15" s="96">
        <f t="shared" si="11"/>
        <v>103.80015603122344</v>
      </c>
      <c r="AI15" s="23">
        <f t="shared" si="13"/>
        <v>69949700.1</v>
      </c>
      <c r="AL15" s="25">
        <v>14</v>
      </c>
      <c r="AM15" s="25" t="str">
        <f>_xlfn.IFERROR(INDEX('Tabela PS'!D:E,'Tabela PS'!C15,1),"")</f>
        <v>Mydło i detergenty, środki piorące, czyszczące i polerujące; wyroby kosmetyczne i toaletowe</v>
      </c>
      <c r="AN15" s="25" t="str">
        <f>_xlfn.IFERROR(INDEX('Tabela PS'!D:G,'Tabela PS'!C15,4),"")</f>
        <v>20.4</v>
      </c>
      <c r="AO15" s="25">
        <f>_xlfn.IFERROR(INDEX('Tabela PS'!$I:$Q,'Tabela PS'!C15,1),"")</f>
        <v>8501245.9</v>
      </c>
      <c r="AP15" s="25">
        <f>_xlfn.IFERROR(INDEX('Tabela PS'!$I:$Q,'Tabela PS'!C15,2),"")</f>
        <v>10153790.5</v>
      </c>
      <c r="AQ15" s="25">
        <f>_xlfn.IFERROR(INDEX('Tabela PS'!$I:$Q,'Tabela PS'!C15,3),"")</f>
        <v>10817191</v>
      </c>
      <c r="AR15" s="25">
        <f>_xlfn.IFERROR(INDEX('Tabela PS'!$I:$Q,'Tabela PS'!C15,4),"")</f>
        <v>11323961.8</v>
      </c>
      <c r="AS15" s="25">
        <f>_xlfn.IFERROR(INDEX('Tabela PS'!$I:$Q,'Tabela PS'!C15,5),"")</f>
        <v>10985273.4</v>
      </c>
      <c r="AT15" s="25">
        <f>_xlfn.IFERROR(INDEX('Tabela PS'!$I:$Q,'Tabela PS'!C15,6),"")</f>
        <v>11630433.7</v>
      </c>
      <c r="AU15" s="25">
        <f>_xlfn.IFERROR(INDEX('Tabela PS'!$I:$Q,'Tabela PS'!C15,7),"")</f>
        <v>12465451.4</v>
      </c>
      <c r="AV15" s="25">
        <f>_xlfn.IFERROR(INDEX('Tabela PS'!$I:$Q,'Tabela PS'!C15,8),"")</f>
        <v>12888359.6</v>
      </c>
      <c r="AW15" s="25">
        <f>_xlfn.IFERROR(INDEX('Tabela PS'!$I:$Q,'Tabela PS'!C15,9),"")</f>
        <v>12732810</v>
      </c>
      <c r="AX15" s="25">
        <f>_xlfn.IFERROR(INDEX('Tabela PS'!$I:$R,'Tabela PS'!C15,10),"")</f>
        <v>13046957.4</v>
      </c>
      <c r="AY15" s="26">
        <f t="shared" si="14"/>
        <v>153.4711212153033</v>
      </c>
    </row>
    <row r="16" spans="2:51" ht="15">
      <c r="B16" s="8">
        <f t="shared" si="12"/>
        <v>15</v>
      </c>
      <c r="C16" s="9">
        <f>IF($A$2=1,"",_xlfn.IFERROR(MATCH($T$29,'Tabela PS'!D:D,0)+B15,""))</f>
        <v>138</v>
      </c>
      <c r="D16" s="28" t="s">
        <v>2756</v>
      </c>
      <c r="E16" s="21" t="s">
        <v>729</v>
      </c>
      <c r="F16" s="20" t="s">
        <v>674</v>
      </c>
      <c r="G16" s="28" t="s">
        <v>2755</v>
      </c>
      <c r="H16" s="20" t="s">
        <v>3334</v>
      </c>
      <c r="I16" s="335">
        <v>136590</v>
      </c>
      <c r="J16" s="335">
        <v>145126.1</v>
      </c>
      <c r="K16" s="335" t="s">
        <v>2740</v>
      </c>
      <c r="L16" s="335" t="s">
        <v>2740</v>
      </c>
      <c r="M16" s="335" t="s">
        <v>2740</v>
      </c>
      <c r="N16" s="335" t="s">
        <v>2740</v>
      </c>
      <c r="O16" s="335" t="s">
        <v>2740</v>
      </c>
      <c r="P16" s="335" t="s">
        <v>2740</v>
      </c>
      <c r="Q16" s="335" t="s">
        <v>2740</v>
      </c>
      <c r="R16" s="335" t="s">
        <v>2740</v>
      </c>
      <c r="S16" s="22" t="s">
        <v>684</v>
      </c>
      <c r="T16" s="22" t="s">
        <v>346</v>
      </c>
      <c r="U16" s="22" t="s">
        <v>666</v>
      </c>
      <c r="V16" s="22">
        <v>5</v>
      </c>
      <c r="W16" s="22">
        <f t="shared" si="0"/>
        <v>9743572.1</v>
      </c>
      <c r="X16" s="22">
        <f t="shared" si="1"/>
        <v>10821993.1</v>
      </c>
      <c r="Y16" s="22">
        <f t="shared" si="2"/>
        <v>10894237.9</v>
      </c>
      <c r="Z16" s="22">
        <f t="shared" si="3"/>
        <v>11515451.6</v>
      </c>
      <c r="AA16" s="22">
        <f t="shared" si="4"/>
        <v>11794427.5</v>
      </c>
      <c r="AB16" s="22">
        <f t="shared" si="5"/>
        <v>12400492.5</v>
      </c>
      <c r="AC16" s="22">
        <f t="shared" si="6"/>
        <v>12620573.8</v>
      </c>
      <c r="AD16" s="22">
        <f t="shared" si="7"/>
        <v>13504729.6</v>
      </c>
      <c r="AE16" s="22">
        <f t="shared" si="8"/>
        <v>10492241.9</v>
      </c>
      <c r="AF16" s="22">
        <f t="shared" si="9"/>
        <v>10865526.9</v>
      </c>
      <c r="AG16" s="22">
        <f t="shared" si="10"/>
        <v>10865526.9</v>
      </c>
      <c r="AH16" s="96">
        <f t="shared" si="11"/>
        <v>103.55772392171019</v>
      </c>
      <c r="AI16" s="23" t="str">
        <f t="shared" si="13"/>
        <v/>
      </c>
      <c r="AL16" s="25">
        <v>15</v>
      </c>
      <c r="AM16" s="25" t="str">
        <f>_xlfn.IFERROR(INDEX('Tabela PS'!D:E,'Tabela PS'!C16,1),"")</f>
        <v>Mydło i detergenty, środki piorące, czyszczące i polerujące</v>
      </c>
      <c r="AN16" s="25" t="str">
        <f>_xlfn.IFERROR(INDEX('Tabela PS'!D:G,'Tabela PS'!C16,4),"")</f>
        <v>20.41</v>
      </c>
      <c r="AO16" s="25">
        <f>_xlfn.IFERROR(INDEX('Tabela PS'!$I:$Q,'Tabela PS'!C16,1),"")</f>
        <v>3436280.7</v>
      </c>
      <c r="AP16" s="25">
        <f>_xlfn.IFERROR(INDEX('Tabela PS'!$I:$Q,'Tabela PS'!C16,2),"")</f>
        <v>3934271.2</v>
      </c>
      <c r="AQ16" s="25">
        <f>_xlfn.IFERROR(INDEX('Tabela PS'!$I:$Q,'Tabela PS'!C16,3),"")</f>
        <v>4483745.5</v>
      </c>
      <c r="AR16" s="25">
        <f>_xlfn.IFERROR(INDEX('Tabela PS'!$I:$Q,'Tabela PS'!C16,4),"")</f>
        <v>4709094</v>
      </c>
      <c r="AS16" s="25">
        <f>_xlfn.IFERROR(INDEX('Tabela PS'!$I:$Q,'Tabela PS'!C16,5),"")</f>
        <v>4948083.2</v>
      </c>
      <c r="AT16" s="25">
        <f>_xlfn.IFERROR(INDEX('Tabela PS'!$I:$Q,'Tabela PS'!C16,6),"")</f>
        <v>5239871.3</v>
      </c>
      <c r="AU16" s="25">
        <f>_xlfn.IFERROR(INDEX('Tabela PS'!$I:$Q,'Tabela PS'!C16,7),"")</f>
        <v>5289873.5</v>
      </c>
      <c r="AV16" s="25">
        <f>_xlfn.IFERROR(INDEX('Tabela PS'!$I:$Q,'Tabela PS'!C16,8),"")</f>
        <v>5270727</v>
      </c>
      <c r="AW16" s="25">
        <f>_xlfn.IFERROR(INDEX('Tabela PS'!$I:$Q,'Tabela PS'!C16,9),"")</f>
        <v>5327277.2</v>
      </c>
      <c r="AX16" s="25">
        <f>_xlfn.IFERROR(INDEX('Tabela PS'!$I:$R,'Tabela PS'!C16,10),"")</f>
        <v>5516226</v>
      </c>
      <c r="AY16" s="26">
        <f t="shared" si="14"/>
        <v>160.52896959203593</v>
      </c>
    </row>
    <row r="17" spans="2:51" ht="15">
      <c r="B17" s="8">
        <f t="shared" si="12"/>
        <v>16</v>
      </c>
      <c r="C17" s="9">
        <f>IF($A$2=1,"",_xlfn.IFERROR(MATCH($T$29,'Tabela PS'!D:D,0)+B16,""))</f>
        <v>139</v>
      </c>
      <c r="D17" s="20" t="s">
        <v>67</v>
      </c>
      <c r="E17" s="21" t="s">
        <v>730</v>
      </c>
      <c r="F17" s="20" t="s">
        <v>676</v>
      </c>
      <c r="G17" s="20" t="s">
        <v>676</v>
      </c>
      <c r="H17" s="20" t="s">
        <v>3335</v>
      </c>
      <c r="I17" s="335">
        <v>126294865.6</v>
      </c>
      <c r="J17" s="335">
        <v>139488379.4</v>
      </c>
      <c r="K17" s="335">
        <v>157409632.2</v>
      </c>
      <c r="L17" s="335">
        <v>160539714.7</v>
      </c>
      <c r="M17" s="335">
        <v>160090615.2</v>
      </c>
      <c r="N17" s="335">
        <v>162500264.2</v>
      </c>
      <c r="O17" s="335">
        <v>173810294.2</v>
      </c>
      <c r="P17" s="335">
        <v>189460104.4</v>
      </c>
      <c r="Q17" s="335">
        <v>196479117.4</v>
      </c>
      <c r="R17" s="335">
        <v>203188568.8</v>
      </c>
      <c r="S17" s="22" t="s">
        <v>662</v>
      </c>
      <c r="T17" s="22" t="s">
        <v>350</v>
      </c>
      <c r="U17" s="22" t="s">
        <v>668</v>
      </c>
      <c r="V17" s="22">
        <v>9</v>
      </c>
      <c r="W17" s="22">
        <f t="shared" si="0"/>
        <v>44051550.1</v>
      </c>
      <c r="X17" s="22">
        <f t="shared" si="1"/>
        <v>52333474.3</v>
      </c>
      <c r="Y17" s="22">
        <f t="shared" si="2"/>
        <v>54108561.1</v>
      </c>
      <c r="Z17" s="22">
        <f t="shared" si="3"/>
        <v>57859861.6</v>
      </c>
      <c r="AA17" s="22">
        <f t="shared" si="4"/>
        <v>61050764.1</v>
      </c>
      <c r="AB17" s="22">
        <f t="shared" si="5"/>
        <v>64751968.7</v>
      </c>
      <c r="AC17" s="22">
        <f t="shared" si="6"/>
        <v>70409584</v>
      </c>
      <c r="AD17" s="22">
        <f t="shared" si="7"/>
        <v>78322347.9</v>
      </c>
      <c r="AE17" s="22">
        <f t="shared" si="8"/>
        <v>83087968.1</v>
      </c>
      <c r="AF17" s="22">
        <f t="shared" si="9"/>
        <v>84766184.9</v>
      </c>
      <c r="AG17" s="22">
        <f t="shared" si="10"/>
        <v>84766184.9</v>
      </c>
      <c r="AH17" s="96">
        <f t="shared" si="11"/>
        <v>102.0198072457136</v>
      </c>
      <c r="AI17" s="23" t="str">
        <f t="shared" si="13"/>
        <v/>
      </c>
      <c r="AL17" s="25">
        <v>16</v>
      </c>
      <c r="AM17" s="25" t="str">
        <f>_xlfn.IFERROR(INDEX('Tabela PS'!D:E,'Tabela PS'!C17,1),"")</f>
        <v>Wyroby kosmetyczne i toaletowe</v>
      </c>
      <c r="AN17" s="25" t="str">
        <f>_xlfn.IFERROR(INDEX('Tabela PS'!D:G,'Tabela PS'!C17,4),"")</f>
        <v>20.42</v>
      </c>
      <c r="AO17" s="25">
        <f>_xlfn.IFERROR(INDEX('Tabela PS'!$I:$Q,'Tabela PS'!C17,1),"")</f>
        <v>5064965.2</v>
      </c>
      <c r="AP17" s="25">
        <f>_xlfn.IFERROR(INDEX('Tabela PS'!$I:$Q,'Tabela PS'!C17,2),"")</f>
        <v>6219519.3</v>
      </c>
      <c r="AQ17" s="25">
        <f>_xlfn.IFERROR(INDEX('Tabela PS'!$I:$Q,'Tabela PS'!C17,3),"")</f>
        <v>6333445.5</v>
      </c>
      <c r="AR17" s="25">
        <f>_xlfn.IFERROR(INDEX('Tabela PS'!$I:$Q,'Tabela PS'!C17,4),"")</f>
        <v>6614867.8</v>
      </c>
      <c r="AS17" s="25">
        <f>_xlfn.IFERROR(INDEX('Tabela PS'!$I:$Q,'Tabela PS'!C17,5),"")</f>
        <v>6037190.2</v>
      </c>
      <c r="AT17" s="25">
        <f>_xlfn.IFERROR(INDEX('Tabela PS'!$I:$Q,'Tabela PS'!C17,6),"")</f>
        <v>6390562.4</v>
      </c>
      <c r="AU17" s="25">
        <f>_xlfn.IFERROR(INDEX('Tabela PS'!$I:$Q,'Tabela PS'!C17,7),"")</f>
        <v>7175577.9</v>
      </c>
      <c r="AV17" s="25">
        <f>_xlfn.IFERROR(INDEX('Tabela PS'!$I:$Q,'Tabela PS'!C17,8),"")</f>
        <v>7617632.6</v>
      </c>
      <c r="AW17" s="25">
        <f>_xlfn.IFERROR(INDEX('Tabela PS'!$I:$Q,'Tabela PS'!C17,9),"")</f>
        <v>7405532.8</v>
      </c>
      <c r="AX17" s="25">
        <f>_xlfn.IFERROR(INDEX('Tabela PS'!$I:$R,'Tabela PS'!C17,10),"")</f>
        <v>7530731.4</v>
      </c>
      <c r="AY17" s="26">
        <f t="shared" si="14"/>
        <v>148.6827866063127</v>
      </c>
    </row>
    <row r="18" spans="2:51" ht="15">
      <c r="B18" s="8">
        <f t="shared" si="12"/>
        <v>17</v>
      </c>
      <c r="C18" s="9">
        <f>IF($A$2=1,"",_xlfn.IFERROR(MATCH($T$29,'Tabela PS'!D:D,0)+B17,""))</f>
        <v>140</v>
      </c>
      <c r="D18" s="20" t="s">
        <v>2758</v>
      </c>
      <c r="E18" s="21" t="s">
        <v>731</v>
      </c>
      <c r="F18" s="20" t="s">
        <v>676</v>
      </c>
      <c r="G18" s="20" t="s">
        <v>2757</v>
      </c>
      <c r="H18" s="20" t="s">
        <v>3336</v>
      </c>
      <c r="I18" s="335">
        <v>37425729.6</v>
      </c>
      <c r="J18" s="335">
        <v>40900511.2</v>
      </c>
      <c r="K18" s="335">
        <v>48948789.7</v>
      </c>
      <c r="L18" s="335">
        <v>49544880.8</v>
      </c>
      <c r="M18" s="335">
        <v>51703670.9</v>
      </c>
      <c r="N18" s="335">
        <v>53905569.9</v>
      </c>
      <c r="O18" s="335">
        <v>57816289.3</v>
      </c>
      <c r="P18" s="335">
        <v>63577171.6</v>
      </c>
      <c r="Q18" s="335">
        <v>64638882.7</v>
      </c>
      <c r="R18" s="335">
        <v>68152865</v>
      </c>
      <c r="S18" s="22" t="s">
        <v>666</v>
      </c>
      <c r="T18" s="22" t="s">
        <v>376</v>
      </c>
      <c r="U18" s="22" t="s">
        <v>685</v>
      </c>
      <c r="V18" s="22">
        <v>33</v>
      </c>
      <c r="W18" s="22">
        <f t="shared" si="0"/>
        <v>34853306.2</v>
      </c>
      <c r="X18" s="22">
        <f t="shared" si="1"/>
        <v>40905805.2</v>
      </c>
      <c r="Y18" s="22">
        <f t="shared" si="2"/>
        <v>38608825</v>
      </c>
      <c r="Z18" s="22">
        <f t="shared" si="3"/>
        <v>36912081</v>
      </c>
      <c r="AA18" s="22">
        <f t="shared" si="4"/>
        <v>38875512.2</v>
      </c>
      <c r="AB18" s="22">
        <f t="shared" si="5"/>
        <v>39330971.8</v>
      </c>
      <c r="AC18" s="22">
        <f t="shared" si="6"/>
        <v>40917334</v>
      </c>
      <c r="AD18" s="22">
        <f t="shared" si="7"/>
        <v>44779674.1</v>
      </c>
      <c r="AE18" s="22">
        <f t="shared" si="8"/>
        <v>49682417.5</v>
      </c>
      <c r="AF18" s="22">
        <f t="shared" si="9"/>
        <v>53012357.7</v>
      </c>
      <c r="AG18" s="22">
        <f t="shared" si="10"/>
        <v>53012357.7</v>
      </c>
      <c r="AH18" s="96">
        <f t="shared" si="11"/>
        <v>106.70245202943276</v>
      </c>
      <c r="AI18" s="23" t="str">
        <f t="shared" si="13"/>
        <v/>
      </c>
      <c r="AL18" s="25">
        <v>17</v>
      </c>
      <c r="AM18" s="25" t="str">
        <f>_xlfn.IFERROR(INDEX('Tabela PS'!D:E,'Tabela PS'!C18,1),"")</f>
        <v>Pozostałe wyroby chemiczne</v>
      </c>
      <c r="AN18" s="25" t="str">
        <f>_xlfn.IFERROR(INDEX('Tabela PS'!D:G,'Tabela PS'!C18,4),"")</f>
        <v>20.5</v>
      </c>
      <c r="AO18" s="25">
        <f>_xlfn.IFERROR(INDEX('Tabela PS'!$I:$Q,'Tabela PS'!C18,1),"")</f>
        <v>3234267.9</v>
      </c>
      <c r="AP18" s="25">
        <f>_xlfn.IFERROR(INDEX('Tabela PS'!$I:$Q,'Tabela PS'!C18,2),"")</f>
        <v>3926683</v>
      </c>
      <c r="AQ18" s="25">
        <f>_xlfn.IFERROR(INDEX('Tabela PS'!$I:$Q,'Tabela PS'!C18,3),"")</f>
        <v>4790102.1</v>
      </c>
      <c r="AR18" s="25">
        <f>_xlfn.IFERROR(INDEX('Tabela PS'!$I:$Q,'Tabela PS'!C18,4),"")</f>
        <v>4815885.8</v>
      </c>
      <c r="AS18" s="25">
        <f>_xlfn.IFERROR(INDEX('Tabela PS'!$I:$Q,'Tabela PS'!C18,5),"")</f>
        <v>4599559</v>
      </c>
      <c r="AT18" s="25">
        <f>_xlfn.IFERROR(INDEX('Tabela PS'!$I:$Q,'Tabela PS'!C18,6),"")</f>
        <v>5339695.9</v>
      </c>
      <c r="AU18" s="25">
        <f>_xlfn.IFERROR(INDEX('Tabela PS'!$I:$Q,'Tabela PS'!C18,7),"")</f>
        <v>7260756.4</v>
      </c>
      <c r="AV18" s="25">
        <f>_xlfn.IFERROR(INDEX('Tabela PS'!$I:$Q,'Tabela PS'!C18,8),"")</f>
        <v>7619853.3</v>
      </c>
      <c r="AW18" s="25">
        <f>_xlfn.IFERROR(INDEX('Tabela PS'!$I:$Q,'Tabela PS'!C18,9),"")</f>
        <v>7386872.1</v>
      </c>
      <c r="AX18" s="25">
        <f>_xlfn.IFERROR(INDEX('Tabela PS'!$I:$R,'Tabela PS'!C18,10),"")</f>
        <v>8248314.1</v>
      </c>
      <c r="AY18" s="26">
        <f t="shared" si="14"/>
        <v>255.02878410288773</v>
      </c>
    </row>
    <row r="19" spans="2:51" ht="15">
      <c r="B19" s="8">
        <f t="shared" si="12"/>
        <v>18</v>
      </c>
      <c r="C19" s="9">
        <f>IF($A$2=1,"",_xlfn.IFERROR(MATCH($T$29,'Tabela PS'!D:D,0)+B18,""))</f>
        <v>141</v>
      </c>
      <c r="D19" s="28" t="s">
        <v>2760</v>
      </c>
      <c r="E19" s="21" t="s">
        <v>732</v>
      </c>
      <c r="F19" s="20" t="s">
        <v>676</v>
      </c>
      <c r="G19" s="28" t="s">
        <v>2759</v>
      </c>
      <c r="H19" s="20" t="s">
        <v>3337</v>
      </c>
      <c r="I19" s="335">
        <v>13473868</v>
      </c>
      <c r="J19" s="335">
        <v>15713898.2</v>
      </c>
      <c r="K19" s="335">
        <v>19839136.4</v>
      </c>
      <c r="L19" s="335">
        <v>20186689.3</v>
      </c>
      <c r="M19" s="335">
        <v>20833530.5</v>
      </c>
      <c r="N19" s="335">
        <v>20485960.6</v>
      </c>
      <c r="O19" s="335">
        <v>22809424.7</v>
      </c>
      <c r="P19" s="335">
        <v>25392964.8</v>
      </c>
      <c r="Q19" s="335">
        <v>25723576.2</v>
      </c>
      <c r="R19" s="335">
        <v>26659380.1</v>
      </c>
      <c r="S19" s="22" t="s">
        <v>668</v>
      </c>
      <c r="T19" s="22" t="s">
        <v>433</v>
      </c>
      <c r="U19" s="22" t="s">
        <v>686</v>
      </c>
      <c r="V19" s="22">
        <v>21</v>
      </c>
      <c r="W19" s="22">
        <f t="shared" si="0"/>
        <v>49590115.5</v>
      </c>
      <c r="X19" s="22">
        <f t="shared" si="1"/>
        <v>61571026.3</v>
      </c>
      <c r="Y19" s="22">
        <f t="shared" si="2"/>
        <v>62780141.8</v>
      </c>
      <c r="Z19" s="22">
        <f t="shared" si="3"/>
        <v>57977280.4</v>
      </c>
      <c r="AA19" s="22">
        <f t="shared" si="4"/>
        <v>59084060.1</v>
      </c>
      <c r="AB19" s="22">
        <f t="shared" si="5"/>
        <v>58363229.4</v>
      </c>
      <c r="AC19" s="22">
        <f t="shared" si="6"/>
        <v>57684467.7</v>
      </c>
      <c r="AD19" s="22">
        <f t="shared" si="7"/>
        <v>70471795.9</v>
      </c>
      <c r="AE19" s="22">
        <f t="shared" si="8"/>
        <v>74192105.3</v>
      </c>
      <c r="AF19" s="22">
        <f t="shared" si="9"/>
        <v>72098633.9</v>
      </c>
      <c r="AG19" s="22">
        <f t="shared" si="10"/>
        <v>72098633.9</v>
      </c>
      <c r="AH19" s="96">
        <f t="shared" si="11"/>
        <v>97.17830975204852</v>
      </c>
      <c r="AI19" s="23" t="str">
        <f t="shared" si="13"/>
        <v/>
      </c>
      <c r="AL19" s="25">
        <v>18</v>
      </c>
      <c r="AM19" s="25" t="str">
        <f>_xlfn.IFERROR(INDEX('Tabela PS'!D:E,'Tabela PS'!C19,1),"")</f>
        <v>Materiały wybuchowe; zapałki</v>
      </c>
      <c r="AN19" s="25" t="str">
        <f>_xlfn.IFERROR(INDEX('Tabela PS'!D:G,'Tabela PS'!C19,4),"")</f>
        <v>20.51</v>
      </c>
      <c r="AO19" s="25">
        <f>_xlfn.IFERROR(INDEX('Tabela PS'!$I:$Q,'Tabela PS'!C19,1),"")</f>
        <v>346450</v>
      </c>
      <c r="AP19" s="25">
        <f>_xlfn.IFERROR(INDEX('Tabela PS'!$I:$Q,'Tabela PS'!C19,2),"")</f>
        <v>331067.9</v>
      </c>
      <c r="AQ19" s="25">
        <f>_xlfn.IFERROR(INDEX('Tabela PS'!$I:$Q,'Tabela PS'!C19,3),"")</f>
        <v>319366.7</v>
      </c>
      <c r="AR19" s="25">
        <f>_xlfn.IFERROR(INDEX('Tabela PS'!$I:$Q,'Tabela PS'!C19,4),"")</f>
        <v>337419.3</v>
      </c>
      <c r="AS19" s="25">
        <f>_xlfn.IFERROR(INDEX('Tabela PS'!$I:$Q,'Tabela PS'!C19,5),"")</f>
        <v>334664.3</v>
      </c>
      <c r="AT19" s="25">
        <f>_xlfn.IFERROR(INDEX('Tabela PS'!$I:$Q,'Tabela PS'!C19,6),"")</f>
        <v>429862.3</v>
      </c>
      <c r="AU19" s="25">
        <f>_xlfn.IFERROR(INDEX('Tabela PS'!$I:$Q,'Tabela PS'!C19,7),"")</f>
        <v>448663.2</v>
      </c>
      <c r="AV19" s="25">
        <f>_xlfn.IFERROR(INDEX('Tabela PS'!$I:$Q,'Tabela PS'!C19,8),"")</f>
        <v>550136.4</v>
      </c>
      <c r="AW19" s="25">
        <f>_xlfn.IFERROR(INDEX('Tabela PS'!$I:$Q,'Tabela PS'!C19,9),"")</f>
        <v>578743.6</v>
      </c>
      <c r="AX19" s="25">
        <f>_xlfn.IFERROR(INDEX('Tabela PS'!$I:$R,'Tabela PS'!C19,10),"")</f>
        <v>548968.8</v>
      </c>
      <c r="AY19" s="26">
        <f t="shared" si="14"/>
        <v>158.45541925241739</v>
      </c>
    </row>
    <row r="20" spans="2:51" ht="15">
      <c r="B20" s="8">
        <f t="shared" si="12"/>
        <v>19</v>
      </c>
      <c r="C20" s="9">
        <f>IF($A$2=1,"",_xlfn.IFERROR(MATCH($T$29,'Tabela PS'!D:D,0)+B19,""))</f>
        <v>142</v>
      </c>
      <c r="D20" s="28" t="s">
        <v>2762</v>
      </c>
      <c r="E20" s="21" t="s">
        <v>733</v>
      </c>
      <c r="F20" s="20" t="s">
        <v>676</v>
      </c>
      <c r="G20" s="28" t="s">
        <v>2761</v>
      </c>
      <c r="H20" s="20" t="s">
        <v>3338</v>
      </c>
      <c r="I20" s="335">
        <v>9207433.3</v>
      </c>
      <c r="J20" s="335">
        <v>10411922.3</v>
      </c>
      <c r="K20" s="335">
        <v>11888821.3</v>
      </c>
      <c r="L20" s="335">
        <v>12646460.3</v>
      </c>
      <c r="M20" s="335">
        <v>13674159.9</v>
      </c>
      <c r="N20" s="335">
        <v>14719818.3</v>
      </c>
      <c r="O20" s="335">
        <v>16306789.2</v>
      </c>
      <c r="P20" s="335">
        <v>17818928.7</v>
      </c>
      <c r="Q20" s="335">
        <v>19215574.3</v>
      </c>
      <c r="R20" s="335">
        <v>19985178.4</v>
      </c>
      <c r="S20" s="22" t="s">
        <v>685</v>
      </c>
      <c r="T20" s="22" t="s">
        <v>464</v>
      </c>
      <c r="U20" s="22" t="s">
        <v>687</v>
      </c>
      <c r="V20" s="22">
        <v>25</v>
      </c>
      <c r="W20" s="22">
        <f t="shared" si="0"/>
        <v>40735847.8</v>
      </c>
      <c r="X20" s="22">
        <f t="shared" si="1"/>
        <v>47363976.8</v>
      </c>
      <c r="Y20" s="22">
        <f t="shared" si="2"/>
        <v>49614016.5</v>
      </c>
      <c r="Z20" s="22">
        <f t="shared" si="3"/>
        <v>48015167.9</v>
      </c>
      <c r="AA20" s="22">
        <f t="shared" si="4"/>
        <v>51023072.8</v>
      </c>
      <c r="AB20" s="22">
        <f t="shared" si="5"/>
        <v>54528226.5</v>
      </c>
      <c r="AC20" s="22">
        <f t="shared" si="6"/>
        <v>57067566.7</v>
      </c>
      <c r="AD20" s="22">
        <f t="shared" si="7"/>
        <v>62534704.4</v>
      </c>
      <c r="AE20" s="22">
        <f t="shared" si="8"/>
        <v>67774940.3</v>
      </c>
      <c r="AF20" s="22">
        <f t="shared" si="9"/>
        <v>70728954.3</v>
      </c>
      <c r="AG20" s="22">
        <f t="shared" si="10"/>
        <v>70728954.3</v>
      </c>
      <c r="AH20" s="96">
        <f t="shared" si="11"/>
        <v>104.35856378024727</v>
      </c>
      <c r="AI20" s="23" t="str">
        <f t="shared" si="13"/>
        <v/>
      </c>
      <c r="AL20" s="25">
        <v>19</v>
      </c>
      <c r="AM20" s="25" t="str">
        <f>_xlfn.IFERROR(INDEX('Tabela PS'!D:E,'Tabela PS'!C20,1),"")</f>
        <v>Kleje</v>
      </c>
      <c r="AN20" s="25" t="str">
        <f>_xlfn.IFERROR(INDEX('Tabela PS'!D:G,'Tabela PS'!C20,4),"")</f>
        <v>20.52</v>
      </c>
      <c r="AO20" s="25">
        <f>_xlfn.IFERROR(INDEX('Tabela PS'!$I:$Q,'Tabela PS'!C20,1),"")</f>
        <v>371162.7</v>
      </c>
      <c r="AP20" s="25">
        <f>_xlfn.IFERROR(INDEX('Tabela PS'!$I:$Q,'Tabela PS'!C20,2),"")</f>
        <v>365181.4</v>
      </c>
      <c r="AQ20" s="25">
        <f>_xlfn.IFERROR(INDEX('Tabela PS'!$I:$Q,'Tabela PS'!C20,3),"")</f>
        <v>342136.4</v>
      </c>
      <c r="AR20" s="25">
        <f>_xlfn.IFERROR(INDEX('Tabela PS'!$I:$Q,'Tabela PS'!C20,4),"")</f>
        <v>355319.3</v>
      </c>
      <c r="AS20" s="25">
        <f>_xlfn.IFERROR(INDEX('Tabela PS'!$I:$Q,'Tabela PS'!C20,5),"")</f>
        <v>415247.6</v>
      </c>
      <c r="AT20" s="25">
        <f>_xlfn.IFERROR(INDEX('Tabela PS'!$I:$Q,'Tabela PS'!C20,6),"")</f>
        <v>585000.1</v>
      </c>
      <c r="AU20" s="25">
        <f>_xlfn.IFERROR(INDEX('Tabela PS'!$I:$Q,'Tabela PS'!C20,7),"")</f>
        <v>625489</v>
      </c>
      <c r="AV20" s="25">
        <f>_xlfn.IFERROR(INDEX('Tabela PS'!$I:$Q,'Tabela PS'!C20,8),"")</f>
        <v>689202.5</v>
      </c>
      <c r="AW20" s="25">
        <f>_xlfn.IFERROR(INDEX('Tabela PS'!$I:$Q,'Tabela PS'!C20,9),"")</f>
        <v>772338.2</v>
      </c>
      <c r="AX20" s="25">
        <f>_xlfn.IFERROR(INDEX('Tabela PS'!$I:$R,'Tabela PS'!C20,10),"")</f>
        <v>915047.7</v>
      </c>
      <c r="AY20" s="26">
        <f t="shared" si="14"/>
        <v>246.53546813836624</v>
      </c>
    </row>
    <row r="21" spans="2:51" ht="15">
      <c r="B21" s="8">
        <f t="shared" si="12"/>
        <v>20</v>
      </c>
      <c r="C21" s="9">
        <f>IF($A$2=1,"",_xlfn.IFERROR(MATCH($T$29,'Tabela PS'!D:D,0)+B20,""))</f>
        <v>143</v>
      </c>
      <c r="D21" s="28" t="s">
        <v>2764</v>
      </c>
      <c r="E21" s="21" t="s">
        <v>734</v>
      </c>
      <c r="F21" s="20" t="s">
        <v>676</v>
      </c>
      <c r="G21" s="28" t="s">
        <v>2763</v>
      </c>
      <c r="H21" s="20" t="s">
        <v>3339</v>
      </c>
      <c r="I21" s="335">
        <v>14744428.3</v>
      </c>
      <c r="J21" s="335">
        <v>14774690.7</v>
      </c>
      <c r="K21" s="335">
        <v>17220832</v>
      </c>
      <c r="L21" s="335">
        <v>16711731.2</v>
      </c>
      <c r="M21" s="335">
        <v>17195980.5</v>
      </c>
      <c r="N21" s="335">
        <v>18699791</v>
      </c>
      <c r="O21" s="335">
        <v>18700075.4</v>
      </c>
      <c r="P21" s="335">
        <v>20365278.1</v>
      </c>
      <c r="Q21" s="335">
        <v>19699732.2</v>
      </c>
      <c r="R21" s="335">
        <v>21508306.5</v>
      </c>
      <c r="S21" s="22" t="s">
        <v>686</v>
      </c>
      <c r="T21" s="22" t="s">
        <v>496</v>
      </c>
      <c r="U21" s="22" t="s">
        <v>688</v>
      </c>
      <c r="V21" s="22">
        <v>19</v>
      </c>
      <c r="W21" s="22">
        <f t="shared" si="0"/>
        <v>35946156.1</v>
      </c>
      <c r="X21" s="22">
        <f t="shared" si="1"/>
        <v>30564716.2</v>
      </c>
      <c r="Y21" s="22">
        <f t="shared" si="2"/>
        <v>30351935.3</v>
      </c>
      <c r="Z21" s="22">
        <f t="shared" si="3"/>
        <v>26980509.4</v>
      </c>
      <c r="AA21" s="22">
        <f t="shared" si="4"/>
        <v>28109312.1</v>
      </c>
      <c r="AB21" s="22">
        <f t="shared" si="5"/>
        <v>29365983.8</v>
      </c>
      <c r="AC21" s="22">
        <f t="shared" si="6"/>
        <v>30695422.8</v>
      </c>
      <c r="AD21" s="22">
        <f t="shared" si="7"/>
        <v>32907471.1</v>
      </c>
      <c r="AE21" s="22">
        <f t="shared" si="8"/>
        <v>33041919.9</v>
      </c>
      <c r="AF21" s="22">
        <f t="shared" si="9"/>
        <v>34287755.4</v>
      </c>
      <c r="AG21" s="22">
        <f t="shared" si="10"/>
        <v>34287755.4</v>
      </c>
      <c r="AH21" s="96">
        <f t="shared" si="11"/>
        <v>103.77046946354955</v>
      </c>
      <c r="AI21" s="23" t="str">
        <f t="shared" si="13"/>
        <v/>
      </c>
      <c r="AL21" s="25">
        <v>20</v>
      </c>
      <c r="AM21" s="25" t="str">
        <f>_xlfn.IFERROR(INDEX('Tabela PS'!D:E,'Tabela PS'!C21,1),"")</f>
        <v>Olejki eteryczne; mieszaniny substancji zapachowych</v>
      </c>
      <c r="AN21" s="25" t="str">
        <f>_xlfn.IFERROR(INDEX('Tabela PS'!D:G,'Tabela PS'!C21,4),"")</f>
        <v>20.53</v>
      </c>
      <c r="AO21" s="25">
        <f>_xlfn.IFERROR(INDEX('Tabela PS'!$I:$Q,'Tabela PS'!C21,1),"")</f>
        <v>97261.9</v>
      </c>
      <c r="AP21" s="25">
        <f>_xlfn.IFERROR(INDEX('Tabela PS'!$I:$Q,'Tabela PS'!C21,2),"")</f>
        <v>77812.6</v>
      </c>
      <c r="AQ21" s="25">
        <f>_xlfn.IFERROR(INDEX('Tabela PS'!$I:$Q,'Tabela PS'!C21,3),"")</f>
        <v>79523.2</v>
      </c>
      <c r="AR21" s="25">
        <f>_xlfn.IFERROR(INDEX('Tabela PS'!$I:$Q,'Tabela PS'!C21,4),"")</f>
        <v>75309.8</v>
      </c>
      <c r="AS21" s="25">
        <f>_xlfn.IFERROR(INDEX('Tabela PS'!$I:$Q,'Tabela PS'!C21,5),"")</f>
        <v>120326.3</v>
      </c>
      <c r="AT21" s="25">
        <f>_xlfn.IFERROR(INDEX('Tabela PS'!$I:$Q,'Tabela PS'!C21,6),"")</f>
        <v>163444.9</v>
      </c>
      <c r="AU21" s="25">
        <f>_xlfn.IFERROR(INDEX('Tabela PS'!$I:$Q,'Tabela PS'!C21,7),"")</f>
        <v>173462.4</v>
      </c>
      <c r="AV21" s="25">
        <f>_xlfn.IFERROR(INDEX('Tabela PS'!$I:$Q,'Tabela PS'!C21,8),"")</f>
        <v>192675.8</v>
      </c>
      <c r="AW21" s="25">
        <f>_xlfn.IFERROR(INDEX('Tabela PS'!$I:$Q,'Tabela PS'!C21,9),"")</f>
        <v>208507.5</v>
      </c>
      <c r="AX21" s="25">
        <f>_xlfn.IFERROR(INDEX('Tabela PS'!$I:$R,'Tabela PS'!C21,10),"")</f>
        <v>207431.6</v>
      </c>
      <c r="AY21" s="26">
        <f t="shared" si="14"/>
        <v>213.27117812833188</v>
      </c>
    </row>
    <row r="22" spans="2:51" ht="15">
      <c r="B22" s="8">
        <f t="shared" si="12"/>
        <v>21</v>
      </c>
      <c r="C22" s="9">
        <f>IF($A$2=1,"",_xlfn.IFERROR(MATCH($T$29,'Tabela PS'!D:D,0)+B21,""))</f>
        <v>144</v>
      </c>
      <c r="D22" s="20" t="s">
        <v>2766</v>
      </c>
      <c r="E22" s="21" t="s">
        <v>735</v>
      </c>
      <c r="F22" s="20" t="s">
        <v>676</v>
      </c>
      <c r="G22" s="20" t="s">
        <v>2765</v>
      </c>
      <c r="H22" s="20" t="s">
        <v>3340</v>
      </c>
      <c r="I22" s="335">
        <v>5449866.2</v>
      </c>
      <c r="J22" s="335">
        <v>5812965.3</v>
      </c>
      <c r="K22" s="335">
        <v>6580311.1</v>
      </c>
      <c r="L22" s="335">
        <v>7436705.1</v>
      </c>
      <c r="M22" s="335">
        <v>7865479.1</v>
      </c>
      <c r="N22" s="335">
        <v>8857594.2</v>
      </c>
      <c r="O22" s="335">
        <v>9836935.2</v>
      </c>
      <c r="P22" s="335">
        <v>10991298.6</v>
      </c>
      <c r="Q22" s="335">
        <v>11741360.4</v>
      </c>
      <c r="R22" s="335">
        <v>12040900.8</v>
      </c>
      <c r="S22" s="22" t="s">
        <v>687</v>
      </c>
      <c r="T22" s="22" t="s">
        <v>511</v>
      </c>
      <c r="U22" s="22" t="s">
        <v>663</v>
      </c>
      <c r="V22" s="22">
        <v>17</v>
      </c>
      <c r="W22" s="22">
        <f t="shared" si="0"/>
        <v>35037683.5</v>
      </c>
      <c r="X22" s="22">
        <f t="shared" si="1"/>
        <v>39517042.7</v>
      </c>
      <c r="Y22" s="22">
        <f t="shared" si="2"/>
        <v>42166192.5</v>
      </c>
      <c r="Z22" s="22">
        <f t="shared" si="3"/>
        <v>44113379.6</v>
      </c>
      <c r="AA22" s="22">
        <f t="shared" si="4"/>
        <v>47957874</v>
      </c>
      <c r="AB22" s="22">
        <f t="shared" si="5"/>
        <v>51717574</v>
      </c>
      <c r="AC22" s="22">
        <f t="shared" si="6"/>
        <v>56094837</v>
      </c>
      <c r="AD22" s="22">
        <f t="shared" si="7"/>
        <v>58315675.3</v>
      </c>
      <c r="AE22" s="22">
        <f t="shared" si="8"/>
        <v>61665650.8</v>
      </c>
      <c r="AF22" s="22">
        <f t="shared" si="9"/>
        <v>71250227.7</v>
      </c>
      <c r="AG22" s="22">
        <f t="shared" si="10"/>
        <v>71250227.7</v>
      </c>
      <c r="AH22" s="96">
        <f t="shared" si="11"/>
        <v>115.54281317987811</v>
      </c>
      <c r="AI22" s="23" t="str">
        <f t="shared" si="13"/>
        <v/>
      </c>
      <c r="AL22" s="25">
        <v>21</v>
      </c>
      <c r="AM22" s="25" t="str">
        <f>_xlfn.IFERROR(INDEX('Tabela PS'!D:E,'Tabela PS'!C22,1),"")</f>
        <v>Pozostałe wyroby chemiczne, gdzie indziej niesklasyfikowane</v>
      </c>
      <c r="AN22" s="25" t="str">
        <f>_xlfn.IFERROR(INDEX('Tabela PS'!D:G,'Tabela PS'!C22,4),"")</f>
        <v>20.59</v>
      </c>
      <c r="AO22" s="25">
        <f>_xlfn.IFERROR(INDEX('Tabela PS'!$I:$Q,'Tabela PS'!C22,1),"")</f>
        <v>2419393.3</v>
      </c>
      <c r="AP22" s="25">
        <f>_xlfn.IFERROR(INDEX('Tabela PS'!$I:$Q,'Tabela PS'!C22,2),"")</f>
        <v>3152621.1</v>
      </c>
      <c r="AQ22" s="25">
        <f>_xlfn.IFERROR(INDEX('Tabela PS'!$I:$Q,'Tabela PS'!C22,3),"")</f>
        <v>4049075.8</v>
      </c>
      <c r="AR22" s="25">
        <f>_xlfn.IFERROR(INDEX('Tabela PS'!$I:$Q,'Tabela PS'!C22,4),"")</f>
        <v>4047837.4</v>
      </c>
      <c r="AS22" s="25">
        <f>_xlfn.IFERROR(INDEX('Tabela PS'!$I:$Q,'Tabela PS'!C22,5),"")</f>
        <v>3729320.8</v>
      </c>
      <c r="AT22" s="25">
        <f>_xlfn.IFERROR(INDEX('Tabela PS'!$I:$Q,'Tabela PS'!C22,6),"")</f>
        <v>4161388.6</v>
      </c>
      <c r="AU22" s="25">
        <f>_xlfn.IFERROR(INDEX('Tabela PS'!$I:$Q,'Tabela PS'!C22,7),"")</f>
        <v>6013141.8</v>
      </c>
      <c r="AV22" s="25">
        <f>_xlfn.IFERROR(INDEX('Tabela PS'!$I:$Q,'Tabela PS'!C22,8),"")</f>
        <v>6187838.6</v>
      </c>
      <c r="AW22" s="25">
        <f>_xlfn.IFERROR(INDEX('Tabela PS'!$I:$Q,'Tabela PS'!C22,9),"")</f>
        <v>5827282.8</v>
      </c>
      <c r="AX22" s="25">
        <f>_xlfn.IFERROR(INDEX('Tabela PS'!$I:$R,'Tabela PS'!C22,10),"")</f>
        <v>6576866</v>
      </c>
      <c r="AY22" s="26">
        <f t="shared" si="14"/>
        <v>271.83947314394896</v>
      </c>
    </row>
    <row r="23" spans="2:51" ht="15">
      <c r="B23" s="8">
        <f t="shared" si="12"/>
        <v>22</v>
      </c>
      <c r="C23" s="9">
        <f>IF($A$2=1,"",_xlfn.IFERROR(MATCH($T$29,'Tabela PS'!D:D,0)+B22,""))</f>
        <v>145</v>
      </c>
      <c r="D23" s="28" t="s">
        <v>2766</v>
      </c>
      <c r="E23" s="21" t="s">
        <v>736</v>
      </c>
      <c r="F23" s="20" t="s">
        <v>676</v>
      </c>
      <c r="G23" s="28" t="s">
        <v>2767</v>
      </c>
      <c r="H23" s="20" t="s">
        <v>3341</v>
      </c>
      <c r="I23" s="335">
        <v>5449866.2</v>
      </c>
      <c r="J23" s="335">
        <v>5812965.3</v>
      </c>
      <c r="K23" s="335">
        <v>6580311.1</v>
      </c>
      <c r="L23" s="335">
        <v>7436705.1</v>
      </c>
      <c r="M23" s="335">
        <v>7865479.1</v>
      </c>
      <c r="N23" s="335">
        <v>8857594.2</v>
      </c>
      <c r="O23" s="335">
        <v>9836935.2</v>
      </c>
      <c r="P23" s="335">
        <v>10991298.6</v>
      </c>
      <c r="Q23" s="335">
        <v>11741360.4</v>
      </c>
      <c r="R23" s="335">
        <v>12040900.8</v>
      </c>
      <c r="S23" s="22" t="s">
        <v>688</v>
      </c>
      <c r="T23" s="22" t="s">
        <v>552</v>
      </c>
      <c r="U23" s="22" t="s">
        <v>689</v>
      </c>
      <c r="V23" s="22">
        <v>27</v>
      </c>
      <c r="W23" s="22">
        <f t="shared" si="0"/>
        <v>24136411</v>
      </c>
      <c r="X23" s="22">
        <f t="shared" si="1"/>
        <v>29422006.5</v>
      </c>
      <c r="Y23" s="22">
        <f t="shared" si="2"/>
        <v>32485286.7</v>
      </c>
      <c r="Z23" s="22">
        <f t="shared" si="3"/>
        <v>33518809</v>
      </c>
      <c r="AA23" s="22">
        <f t="shared" si="4"/>
        <v>35018263.9</v>
      </c>
      <c r="AB23" s="22">
        <f t="shared" si="5"/>
        <v>36553784.6</v>
      </c>
      <c r="AC23" s="22">
        <f t="shared" si="6"/>
        <v>36823259.8</v>
      </c>
      <c r="AD23" s="22">
        <f t="shared" si="7"/>
        <v>40527212.7</v>
      </c>
      <c r="AE23" s="22">
        <f t="shared" si="8"/>
        <v>44653528.5</v>
      </c>
      <c r="AF23" s="22">
        <f t="shared" si="9"/>
        <v>47257267.7</v>
      </c>
      <c r="AG23" s="22">
        <f t="shared" si="10"/>
        <v>47257267.7</v>
      </c>
      <c r="AH23" s="96">
        <f t="shared" si="11"/>
        <v>105.83098197939722</v>
      </c>
      <c r="AI23" s="23" t="str">
        <f t="shared" si="13"/>
        <v/>
      </c>
      <c r="AL23" s="25">
        <v>22</v>
      </c>
      <c r="AM23" s="25" t="str">
        <f>_xlfn.IFERROR(INDEX('Tabela PS'!D:E,'Tabela PS'!C23,1),"")</f>
        <v>Włókna chemiczne</v>
      </c>
      <c r="AN23" s="25" t="str">
        <f>_xlfn.IFERROR(INDEX('Tabela PS'!D:G,'Tabela PS'!C23,4),"")</f>
        <v>20.6</v>
      </c>
      <c r="AO23" s="25">
        <f>_xlfn.IFERROR(INDEX('Tabela PS'!$I:$Q,'Tabela PS'!C23,1),"")</f>
        <v>340488.6</v>
      </c>
      <c r="AP23" s="25">
        <f>_xlfn.IFERROR(INDEX('Tabela PS'!$I:$Q,'Tabela PS'!C23,2),"")</f>
        <v>399654.6</v>
      </c>
      <c r="AQ23" s="25">
        <f>_xlfn.IFERROR(INDEX('Tabela PS'!$I:$Q,'Tabela PS'!C23,3),"")</f>
        <v>412551.5</v>
      </c>
      <c r="AR23" s="25">
        <f>_xlfn.IFERROR(INDEX('Tabela PS'!$I:$Q,'Tabela PS'!C23,4),"")</f>
        <v>393953</v>
      </c>
      <c r="AS23" s="25">
        <f>_xlfn.IFERROR(INDEX('Tabela PS'!$I:$Q,'Tabela PS'!C23,5),"")</f>
        <v>378040.9</v>
      </c>
      <c r="AT23" s="25">
        <f>_xlfn.IFERROR(INDEX('Tabela PS'!$I:$Q,'Tabela PS'!C23,6),"")</f>
        <v>360637.9</v>
      </c>
      <c r="AU23" s="25">
        <f>_xlfn.IFERROR(INDEX('Tabela PS'!$I:$Q,'Tabela PS'!C23,7),"")</f>
        <v>399410.9</v>
      </c>
      <c r="AV23" s="25">
        <f>_xlfn.IFERROR(INDEX('Tabela PS'!$I:$Q,'Tabela PS'!C23,8),"")</f>
        <v>459830.4</v>
      </c>
      <c r="AW23" s="25">
        <f>_xlfn.IFERROR(INDEX('Tabela PS'!$I:$Q,'Tabela PS'!C23,9),"")</f>
        <v>463943.9</v>
      </c>
      <c r="AX23" s="25">
        <f>_xlfn.IFERROR(INDEX('Tabela PS'!$I:$R,'Tabela PS'!C23,10),"")</f>
        <v>416681.8</v>
      </c>
      <c r="AY23" s="26">
        <f t="shared" si="14"/>
        <v>122.37760676862604</v>
      </c>
    </row>
    <row r="24" spans="2:51" ht="15">
      <c r="B24" s="8" t="str">
        <f t="shared" si="12"/>
        <v>koniec</v>
      </c>
      <c r="C24" s="9">
        <f>IF($A$2=1,"",_xlfn.IFERROR(MATCH($T$29,'Tabela PS'!D:D,0)+B23,""))</f>
        <v>146</v>
      </c>
      <c r="D24" s="20" t="s">
        <v>2769</v>
      </c>
      <c r="E24" s="21" t="s">
        <v>737</v>
      </c>
      <c r="F24" s="20" t="s">
        <v>676</v>
      </c>
      <c r="G24" s="20" t="s">
        <v>2768</v>
      </c>
      <c r="H24" s="20" t="s">
        <v>3342</v>
      </c>
      <c r="I24" s="335">
        <v>9416036.1</v>
      </c>
      <c r="J24" s="335">
        <v>10463643.2</v>
      </c>
      <c r="K24" s="335">
        <v>11903705.4</v>
      </c>
      <c r="L24" s="335">
        <v>12179943.8</v>
      </c>
      <c r="M24" s="335">
        <v>11967181.1</v>
      </c>
      <c r="N24" s="335">
        <v>12521762.8</v>
      </c>
      <c r="O24" s="335">
        <v>13799335</v>
      </c>
      <c r="P24" s="335">
        <v>13993979</v>
      </c>
      <c r="Q24" s="335">
        <v>14337930</v>
      </c>
      <c r="R24" s="335">
        <v>14701469.5</v>
      </c>
      <c r="S24" s="22" t="s">
        <v>663</v>
      </c>
      <c r="T24" s="22" t="s">
        <v>4575</v>
      </c>
      <c r="U24" s="22" t="s">
        <v>690</v>
      </c>
      <c r="V24" s="22">
        <v>8</v>
      </c>
      <c r="W24" s="22">
        <f t="shared" si="0"/>
        <v>89445305.3</v>
      </c>
      <c r="X24" s="22">
        <f t="shared" si="1"/>
        <v>102543886.2</v>
      </c>
      <c r="Y24" s="22">
        <f t="shared" si="2"/>
        <v>93847281.7</v>
      </c>
      <c r="Z24" s="22">
        <f t="shared" si="3"/>
        <v>97627246.2</v>
      </c>
      <c r="AA24" s="22">
        <f t="shared" si="4"/>
        <v>102210488.6</v>
      </c>
      <c r="AB24" s="22">
        <f t="shared" si="5"/>
        <v>113245451.5</v>
      </c>
      <c r="AC24" s="22">
        <f t="shared" si="6"/>
        <v>129616347</v>
      </c>
      <c r="AD24" s="22">
        <f t="shared" si="7"/>
        <v>132483688.4</v>
      </c>
      <c r="AE24" s="22">
        <f t="shared" si="8"/>
        <v>136591510.8</v>
      </c>
      <c r="AF24" s="22">
        <f t="shared" si="9"/>
        <v>141541949.7</v>
      </c>
      <c r="AG24" s="22">
        <f t="shared" si="10"/>
        <v>141541949.7</v>
      </c>
      <c r="AH24" s="96">
        <f t="shared" si="11"/>
        <v>103.62426542543226</v>
      </c>
      <c r="AI24" s="23" t="str">
        <f t="shared" si="13"/>
        <v/>
      </c>
      <c r="AL24" s="25">
        <v>23</v>
      </c>
      <c r="AM24" s="25" t="str">
        <f>_xlfn.IFERROR(INDEX('Tabela PS'!D:E,'Tabela PS'!C24,1),"")</f>
        <v>Włókna chemiczne</v>
      </c>
      <c r="AN24" s="25" t="str">
        <f>_xlfn.IFERROR(INDEX('Tabela PS'!D:G,'Tabela PS'!C24,4),"")</f>
        <v>20.60</v>
      </c>
      <c r="AO24" s="25">
        <f>_xlfn.IFERROR(INDEX('Tabela PS'!$I:$Q,'Tabela PS'!C24,1),"")</f>
        <v>340488.6</v>
      </c>
      <c r="AP24" s="25">
        <f>_xlfn.IFERROR(INDEX('Tabela PS'!$I:$Q,'Tabela PS'!C24,2),"")</f>
        <v>399654.6</v>
      </c>
      <c r="AQ24" s="25">
        <f>_xlfn.IFERROR(INDEX('Tabela PS'!$I:$Q,'Tabela PS'!C24,3),"")</f>
        <v>412551.5</v>
      </c>
      <c r="AR24" s="25">
        <f>_xlfn.IFERROR(INDEX('Tabela PS'!$I:$Q,'Tabela PS'!C24,4),"")</f>
        <v>393953</v>
      </c>
      <c r="AS24" s="25">
        <f>_xlfn.IFERROR(INDEX('Tabela PS'!$I:$Q,'Tabela PS'!C24,5),"")</f>
        <v>378040.9</v>
      </c>
      <c r="AT24" s="25">
        <f>_xlfn.IFERROR(INDEX('Tabela PS'!$I:$Q,'Tabela PS'!C24,6),"")</f>
        <v>360637.9</v>
      </c>
      <c r="AU24" s="25">
        <f>_xlfn.IFERROR(INDEX('Tabela PS'!$I:$Q,'Tabela PS'!C24,7),"")</f>
        <v>399410.9</v>
      </c>
      <c r="AV24" s="25">
        <f>_xlfn.IFERROR(INDEX('Tabela PS'!$I:$Q,'Tabela PS'!C24,8),"")</f>
        <v>459830.4</v>
      </c>
      <c r="AW24" s="25">
        <f>_xlfn.IFERROR(INDEX('Tabela PS'!$I:$Q,'Tabela PS'!C24,9),"")</f>
        <v>463943.9</v>
      </c>
      <c r="AX24" s="25">
        <f>_xlfn.IFERROR(INDEX('Tabela PS'!$I:$R,'Tabela PS'!C24,10),"")</f>
        <v>416681.8</v>
      </c>
      <c r="AY24" s="26">
        <f t="shared" si="14"/>
        <v>122.37760676862604</v>
      </c>
    </row>
    <row r="25" spans="2:51" ht="15">
      <c r="B25" s="8" t="str">
        <f t="shared" si="12"/>
        <v/>
      </c>
      <c r="C25" s="9" t="str">
        <f>IF($A$2=1,"",_xlfn.IFERROR(MATCH($T$29,'Tabela PS'!D:D,0)+B24,""))</f>
        <v/>
      </c>
      <c r="D25" s="28" t="s">
        <v>2771</v>
      </c>
      <c r="E25" s="21" t="s">
        <v>738</v>
      </c>
      <c r="F25" s="20" t="s">
        <v>676</v>
      </c>
      <c r="G25" s="28" t="s">
        <v>2770</v>
      </c>
      <c r="H25" s="20" t="s">
        <v>3343</v>
      </c>
      <c r="I25" s="335">
        <v>889713.6</v>
      </c>
      <c r="J25" s="335">
        <v>969090.1</v>
      </c>
      <c r="K25" s="335">
        <v>1126150.7</v>
      </c>
      <c r="L25" s="335">
        <v>1220759.7</v>
      </c>
      <c r="M25" s="335">
        <v>1220812.3</v>
      </c>
      <c r="N25" s="335">
        <v>1318168.9</v>
      </c>
      <c r="O25" s="335">
        <v>1437526.3</v>
      </c>
      <c r="P25" s="335">
        <v>1540453.7</v>
      </c>
      <c r="Q25" s="335">
        <v>1605169.2</v>
      </c>
      <c r="R25" s="335">
        <v>1696409.7</v>
      </c>
      <c r="S25" s="22" t="s">
        <v>689</v>
      </c>
      <c r="T25" s="22" t="s">
        <v>633</v>
      </c>
      <c r="U25" s="22" t="s">
        <v>691</v>
      </c>
      <c r="V25" s="22">
        <v>12</v>
      </c>
      <c r="W25" s="22">
        <f t="shared" si="0"/>
        <v>6903689.4</v>
      </c>
      <c r="X25" s="22">
        <f t="shared" si="1"/>
        <v>9658980</v>
      </c>
      <c r="Y25" s="22">
        <f t="shared" si="2"/>
        <v>11553847.6</v>
      </c>
      <c r="Z25" s="22">
        <f t="shared" si="3"/>
        <v>12034702.8</v>
      </c>
      <c r="AA25" s="22">
        <f t="shared" si="4"/>
        <v>11717227.9</v>
      </c>
      <c r="AB25" s="22">
        <f t="shared" si="5"/>
        <v>14647717.3</v>
      </c>
      <c r="AC25" s="22">
        <f t="shared" si="6"/>
        <v>12332383.8</v>
      </c>
      <c r="AD25" s="22">
        <f t="shared" si="7"/>
        <v>14665134.5</v>
      </c>
      <c r="AE25" s="22">
        <f t="shared" si="8"/>
        <v>16755877.5</v>
      </c>
      <c r="AF25" s="22">
        <f t="shared" si="9"/>
        <v>20287249.2</v>
      </c>
      <c r="AG25" s="22">
        <f t="shared" si="10"/>
        <v>20287249.2</v>
      </c>
      <c r="AH25" s="96">
        <f t="shared" si="11"/>
        <v>121.07542084859477</v>
      </c>
      <c r="AI25" s="23" t="str">
        <f t="shared" si="13"/>
        <v/>
      </c>
      <c r="AL25" s="25">
        <v>24</v>
      </c>
      <c r="AM25" s="25" t="str">
        <f>_xlfn.IFERROR(INDEX('Tabela PS'!D:E,'Tabela PS'!C25,1),"")</f>
        <v/>
      </c>
      <c r="AN25" s="25" t="str">
        <f>_xlfn.IFERROR(INDEX('Tabela PS'!D:G,'Tabela PS'!C25,4),"")</f>
        <v/>
      </c>
      <c r="AO25" s="25" t="str">
        <f>_xlfn.IFERROR(INDEX('Tabela PS'!$I:$Q,'Tabela PS'!C25,1),"")</f>
        <v/>
      </c>
      <c r="AP25" s="25" t="str">
        <f>_xlfn.IFERROR(INDEX('Tabela PS'!$I:$Q,'Tabela PS'!C25,2),"")</f>
        <v/>
      </c>
      <c r="AQ25" s="25" t="str">
        <f>_xlfn.IFERROR(INDEX('Tabela PS'!$I:$Q,'Tabela PS'!C25,3),"")</f>
        <v/>
      </c>
      <c r="AR25" s="25" t="str">
        <f>_xlfn.IFERROR(INDEX('Tabela PS'!$I:$Q,'Tabela PS'!C25,4),"")</f>
        <v/>
      </c>
      <c r="AS25" s="25" t="str">
        <f>_xlfn.IFERROR(INDEX('Tabela PS'!$I:$Q,'Tabela PS'!C25,5),"")</f>
        <v/>
      </c>
      <c r="AT25" s="25" t="str">
        <f>_xlfn.IFERROR(INDEX('Tabela PS'!$I:$Q,'Tabela PS'!C25,6),"")</f>
        <v/>
      </c>
      <c r="AU25" s="25" t="str">
        <f>_xlfn.IFERROR(INDEX('Tabela PS'!$I:$Q,'Tabela PS'!C25,7),"")</f>
        <v/>
      </c>
      <c r="AV25" s="25" t="str">
        <f>_xlfn.IFERROR(INDEX('Tabela PS'!$I:$Q,'Tabela PS'!C25,8),"")</f>
        <v/>
      </c>
      <c r="AW25" s="25" t="str">
        <f>_xlfn.IFERROR(INDEX('Tabela PS'!$I:$Q,'Tabela PS'!C25,9),"")</f>
        <v/>
      </c>
      <c r="AX25" s="25" t="str">
        <f>_xlfn.IFERROR(INDEX('Tabela PS'!$I:$R,'Tabela PS'!C25,10),"")</f>
        <v/>
      </c>
      <c r="AY25" s="26" t="str">
        <f t="shared" si="14"/>
        <v/>
      </c>
    </row>
    <row r="26" spans="2:51" ht="15">
      <c r="B26" s="8" t="str">
        <f t="shared" si="12"/>
        <v/>
      </c>
      <c r="C26" s="9" t="str">
        <f>IF($A$2=1,"",_xlfn.IFERROR(MATCH($T$29,'Tabela PS'!D:D,0)+B25,""))</f>
        <v/>
      </c>
      <c r="D26" s="28" t="s">
        <v>73</v>
      </c>
      <c r="E26" s="21" t="s">
        <v>739</v>
      </c>
      <c r="F26" s="20" t="s">
        <v>676</v>
      </c>
      <c r="G26" s="28" t="s">
        <v>2772</v>
      </c>
      <c r="H26" s="20" t="s">
        <v>3344</v>
      </c>
      <c r="I26" s="335">
        <v>2551492.1</v>
      </c>
      <c r="J26" s="335">
        <v>3215835.1</v>
      </c>
      <c r="K26" s="335">
        <v>3644103.1</v>
      </c>
      <c r="L26" s="335">
        <v>3714694.2</v>
      </c>
      <c r="M26" s="335">
        <v>3309686.2</v>
      </c>
      <c r="N26" s="335">
        <v>3508948.1</v>
      </c>
      <c r="O26" s="335">
        <v>4124919.3</v>
      </c>
      <c r="P26" s="335">
        <v>3741776.1</v>
      </c>
      <c r="Q26" s="335">
        <v>3848293.6</v>
      </c>
      <c r="R26" s="335">
        <v>3947845.6</v>
      </c>
      <c r="S26" s="22" t="s">
        <v>690</v>
      </c>
      <c r="T26" s="22" t="s">
        <v>641</v>
      </c>
      <c r="U26" s="22" t="s">
        <v>692</v>
      </c>
      <c r="V26" s="22">
        <v>7</v>
      </c>
      <c r="W26" s="22">
        <f t="shared" si="0"/>
        <v>22972986.2</v>
      </c>
      <c r="X26" s="22">
        <f t="shared" si="1"/>
        <v>25925434.5</v>
      </c>
      <c r="Y26" s="22">
        <f t="shared" si="2"/>
        <v>26461864.5</v>
      </c>
      <c r="Z26" s="22">
        <f t="shared" si="3"/>
        <v>28267869.7</v>
      </c>
      <c r="AA26" s="22">
        <f t="shared" si="4"/>
        <v>32297977.7</v>
      </c>
      <c r="AB26" s="22">
        <f t="shared" si="5"/>
        <v>35088359.9</v>
      </c>
      <c r="AC26" s="22">
        <f t="shared" si="6"/>
        <v>38732581.3</v>
      </c>
      <c r="AD26" s="22">
        <f t="shared" si="7"/>
        <v>41035495.3</v>
      </c>
      <c r="AE26" s="22">
        <f t="shared" si="8"/>
        <v>42859469.3</v>
      </c>
      <c r="AF26" s="22">
        <f t="shared" si="9"/>
        <v>43657300.7</v>
      </c>
      <c r="AG26" s="22">
        <f t="shared" si="10"/>
        <v>43657300.7</v>
      </c>
      <c r="AH26" s="96">
        <f t="shared" si="11"/>
        <v>101.8615055506532</v>
      </c>
      <c r="AI26" s="23" t="str">
        <f t="shared" si="13"/>
        <v/>
      </c>
      <c r="AL26" s="25">
        <v>25</v>
      </c>
      <c r="AM26" s="25" t="str">
        <f>_xlfn.IFERROR(INDEX('Tabela PS'!D:E,'Tabela PS'!C26,1),"")</f>
        <v/>
      </c>
      <c r="AN26" s="25" t="str">
        <f>_xlfn.IFERROR(INDEX('Tabela PS'!D:G,'Tabela PS'!C26,4),"")</f>
        <v/>
      </c>
      <c r="AO26" s="25" t="str">
        <f>_xlfn.IFERROR(INDEX('Tabela PS'!$I:$Q,'Tabela PS'!C26,1),"")</f>
        <v/>
      </c>
      <c r="AP26" s="25" t="str">
        <f>_xlfn.IFERROR(INDEX('Tabela PS'!$I:$Q,'Tabela PS'!C26,2),"")</f>
        <v/>
      </c>
      <c r="AQ26" s="25" t="str">
        <f>_xlfn.IFERROR(INDEX('Tabela PS'!$I:$Q,'Tabela PS'!C26,3),"")</f>
        <v/>
      </c>
      <c r="AR26" s="25" t="str">
        <f>_xlfn.IFERROR(INDEX('Tabela PS'!$I:$Q,'Tabela PS'!C26,4),"")</f>
        <v/>
      </c>
      <c r="AS26" s="25" t="str">
        <f>_xlfn.IFERROR(INDEX('Tabela PS'!$I:$Q,'Tabela PS'!C26,5),"")</f>
        <v/>
      </c>
      <c r="AT26" s="25" t="str">
        <f>_xlfn.IFERROR(INDEX('Tabela PS'!$I:$Q,'Tabela PS'!C26,6),"")</f>
        <v/>
      </c>
      <c r="AU26" s="25" t="str">
        <f>_xlfn.IFERROR(INDEX('Tabela PS'!$I:$Q,'Tabela PS'!C26,7),"")</f>
        <v/>
      </c>
      <c r="AV26" s="25" t="str">
        <f>_xlfn.IFERROR(INDEX('Tabela PS'!$I:$Q,'Tabela PS'!C26,8),"")</f>
        <v/>
      </c>
      <c r="AW26" s="25" t="str">
        <f>_xlfn.IFERROR(INDEX('Tabela PS'!$I:$Q,'Tabela PS'!C26,9),"")</f>
        <v/>
      </c>
      <c r="AX26" s="25" t="str">
        <f>_xlfn.IFERROR(INDEX('Tabela PS'!$I:$R,'Tabela PS'!C26,10),"")</f>
        <v/>
      </c>
      <c r="AY26" s="26" t="str">
        <f t="shared" si="14"/>
        <v/>
      </c>
    </row>
    <row r="27" spans="2:51" ht="15">
      <c r="B27" s="8" t="str">
        <f t="shared" si="12"/>
        <v/>
      </c>
      <c r="C27" s="9" t="str">
        <f>IF($A$2=1,"",_xlfn.IFERROR(MATCH($T$29,'Tabela PS'!D:D,0)+B26,""))</f>
        <v/>
      </c>
      <c r="D27" s="28" t="s">
        <v>2774</v>
      </c>
      <c r="E27" s="21" t="s">
        <v>740</v>
      </c>
      <c r="F27" s="20" t="s">
        <v>676</v>
      </c>
      <c r="G27" s="28" t="s">
        <v>2773</v>
      </c>
      <c r="H27" s="20" t="s">
        <v>3345</v>
      </c>
      <c r="I27" s="335">
        <v>5974830.4</v>
      </c>
      <c r="J27" s="335">
        <v>6278718</v>
      </c>
      <c r="K27" s="335">
        <v>7133451.6</v>
      </c>
      <c r="L27" s="335">
        <v>7244489.9</v>
      </c>
      <c r="M27" s="335">
        <v>7436682.6</v>
      </c>
      <c r="N27" s="335">
        <v>7694645.8</v>
      </c>
      <c r="O27" s="335">
        <v>8236889.4</v>
      </c>
      <c r="P27" s="335">
        <v>8711749.2</v>
      </c>
      <c r="Q27" s="335">
        <v>8884467.2</v>
      </c>
      <c r="R27" s="335">
        <v>9057214.2</v>
      </c>
      <c r="S27" s="22" t="s">
        <v>691</v>
      </c>
      <c r="T27" s="22" t="s">
        <v>648</v>
      </c>
      <c r="U27" s="22" t="s">
        <v>693</v>
      </c>
      <c r="V27" s="22">
        <v>16</v>
      </c>
      <c r="W27" s="22">
        <f t="shared" si="0"/>
        <v>4691823.8</v>
      </c>
      <c r="X27" s="22">
        <f t="shared" si="1"/>
        <v>4956829.8</v>
      </c>
      <c r="Y27" s="22">
        <f t="shared" si="2"/>
        <v>5901239.6</v>
      </c>
      <c r="Z27" s="22">
        <f t="shared" si="3"/>
        <v>6485990.7</v>
      </c>
      <c r="AA27" s="22">
        <f t="shared" si="4"/>
        <v>7111864.2</v>
      </c>
      <c r="AB27" s="22">
        <f t="shared" si="5"/>
        <v>7555064.2</v>
      </c>
      <c r="AC27" s="22">
        <f t="shared" si="6"/>
        <v>8433485.9</v>
      </c>
      <c r="AD27" s="22">
        <f t="shared" si="7"/>
        <v>9210142.6</v>
      </c>
      <c r="AE27" s="22">
        <f t="shared" si="8"/>
        <v>9317079.7</v>
      </c>
      <c r="AF27" s="22">
        <f t="shared" si="9"/>
        <v>9847658.4</v>
      </c>
      <c r="AG27" s="22">
        <f t="shared" si="10"/>
        <v>9847658.4</v>
      </c>
      <c r="AH27" s="96">
        <f t="shared" si="11"/>
        <v>105.69468886264868</v>
      </c>
      <c r="AI27" s="23" t="str">
        <f t="shared" si="13"/>
        <v/>
      </c>
      <c r="AL27" s="25">
        <v>26</v>
      </c>
      <c r="AM27" s="25" t="str">
        <f>_xlfn.IFERROR(INDEX('Tabela PS'!D:E,'Tabela PS'!C27,1),"")</f>
        <v/>
      </c>
      <c r="AN27" s="25" t="str">
        <f>_xlfn.IFERROR(INDEX('Tabela PS'!D:G,'Tabela PS'!C27,4),"")</f>
        <v/>
      </c>
      <c r="AO27" s="25" t="str">
        <f>_xlfn.IFERROR(INDEX('Tabela PS'!$I:$Q,'Tabela PS'!C27,1),"")</f>
        <v/>
      </c>
      <c r="AP27" s="25" t="str">
        <f>_xlfn.IFERROR(INDEX('Tabela PS'!$I:$Q,'Tabela PS'!C27,2),"")</f>
        <v/>
      </c>
      <c r="AQ27" s="25" t="str">
        <f>_xlfn.IFERROR(INDEX('Tabela PS'!$I:$Q,'Tabela PS'!C27,3),"")</f>
        <v/>
      </c>
      <c r="AR27" s="25" t="str">
        <f>_xlfn.IFERROR(INDEX('Tabela PS'!$I:$Q,'Tabela PS'!C27,4),"")</f>
        <v/>
      </c>
      <c r="AS27" s="25" t="str">
        <f>_xlfn.IFERROR(INDEX('Tabela PS'!$I:$Q,'Tabela PS'!C27,5),"")</f>
        <v/>
      </c>
      <c r="AT27" s="25" t="str">
        <f>_xlfn.IFERROR(INDEX('Tabela PS'!$I:$Q,'Tabela PS'!C27,6),"")</f>
        <v/>
      </c>
      <c r="AU27" s="25" t="str">
        <f>_xlfn.IFERROR(INDEX('Tabela PS'!$I:$Q,'Tabela PS'!C27,7),"")</f>
        <v/>
      </c>
      <c r="AV27" s="25" t="str">
        <f>_xlfn.IFERROR(INDEX('Tabela PS'!$I:$Q,'Tabela PS'!C27,8),"")</f>
        <v/>
      </c>
      <c r="AW27" s="25" t="str">
        <f>_xlfn.IFERROR(INDEX('Tabela PS'!$I:$Q,'Tabela PS'!C27,9),"")</f>
        <v/>
      </c>
      <c r="AX27" s="25" t="str">
        <f>_xlfn.IFERROR(INDEX('Tabela PS'!$I:$R,'Tabela PS'!C27,10),"")</f>
        <v/>
      </c>
      <c r="AY27" s="26" t="str">
        <f t="shared" si="14"/>
        <v/>
      </c>
    </row>
    <row r="28" spans="2:51" ht="15">
      <c r="B28" s="8" t="str">
        <f t="shared" si="12"/>
        <v/>
      </c>
      <c r="C28" s="9" t="str">
        <f>IF($A$2=1,"",_xlfn.IFERROR(MATCH($T$29,'Tabela PS'!D:D,0)+B27,""))</f>
        <v/>
      </c>
      <c r="D28" s="20" t="s">
        <v>2776</v>
      </c>
      <c r="E28" s="21" t="s">
        <v>741</v>
      </c>
      <c r="F28" s="20" t="s">
        <v>676</v>
      </c>
      <c r="G28" s="20" t="s">
        <v>2775</v>
      </c>
      <c r="H28" s="20" t="s">
        <v>3346</v>
      </c>
      <c r="I28" s="335">
        <v>4687450</v>
      </c>
      <c r="J28" s="335">
        <v>4657492.6</v>
      </c>
      <c r="K28" s="335">
        <v>4818842.7</v>
      </c>
      <c r="L28" s="335">
        <v>4109369.9</v>
      </c>
      <c r="M28" s="335">
        <v>4088681.4</v>
      </c>
      <c r="N28" s="335">
        <v>4226412.6</v>
      </c>
      <c r="O28" s="335">
        <v>4463377.5</v>
      </c>
      <c r="P28" s="335">
        <v>4437559.6</v>
      </c>
      <c r="Q28" s="335">
        <v>4744076.9</v>
      </c>
      <c r="R28" s="335">
        <v>4988147.2</v>
      </c>
      <c r="S28" s="22" t="s">
        <v>692</v>
      </c>
      <c r="T28" s="29" t="s">
        <v>3697</v>
      </c>
      <c r="U28" s="30">
        <v>35</v>
      </c>
      <c r="AL28" s="25">
        <v>27</v>
      </c>
      <c r="AM28" s="25" t="str">
        <f>_xlfn.IFERROR(INDEX('Tabela PS'!D:E,'Tabela PS'!C28,1),"")</f>
        <v/>
      </c>
      <c r="AN28" s="25" t="str">
        <f>_xlfn.IFERROR(INDEX('Tabela PS'!D:G,'Tabela PS'!C28,4),"")</f>
        <v/>
      </c>
      <c r="AO28" s="25" t="str">
        <f>_xlfn.IFERROR(INDEX('Tabela PS'!$I:$Q,'Tabela PS'!C28,1),"")</f>
        <v/>
      </c>
      <c r="AP28" s="25" t="str">
        <f>_xlfn.IFERROR(INDEX('Tabela PS'!$I:$Q,'Tabela PS'!C28,2),"")</f>
        <v/>
      </c>
      <c r="AQ28" s="25" t="str">
        <f>_xlfn.IFERROR(INDEX('Tabela PS'!$I:$Q,'Tabela PS'!C28,3),"")</f>
        <v/>
      </c>
      <c r="AR28" s="25" t="str">
        <f>_xlfn.IFERROR(INDEX('Tabela PS'!$I:$Q,'Tabela PS'!C28,4),"")</f>
        <v/>
      </c>
      <c r="AS28" s="25" t="str">
        <f>_xlfn.IFERROR(INDEX('Tabela PS'!$I:$Q,'Tabela PS'!C28,5),"")</f>
        <v/>
      </c>
      <c r="AT28" s="25" t="str">
        <f>_xlfn.IFERROR(INDEX('Tabela PS'!$I:$Q,'Tabela PS'!C28,6),"")</f>
        <v/>
      </c>
      <c r="AU28" s="25" t="str">
        <f>_xlfn.IFERROR(INDEX('Tabela PS'!$I:$Q,'Tabela PS'!C28,7),"")</f>
        <v/>
      </c>
      <c r="AV28" s="25" t="str">
        <f>_xlfn.IFERROR(INDEX('Tabela PS'!$I:$Q,'Tabela PS'!C28,8),"")</f>
        <v/>
      </c>
      <c r="AW28" s="25" t="str">
        <f>_xlfn.IFERROR(INDEX('Tabela PS'!$I:$Q,'Tabela PS'!C28,9),"")</f>
        <v/>
      </c>
      <c r="AX28" s="25" t="str">
        <f>_xlfn.IFERROR(INDEX('Tabela PS'!$I:$R,'Tabela PS'!C28,10),"")</f>
        <v/>
      </c>
      <c r="AY28" s="26" t="str">
        <f t="shared" si="14"/>
        <v/>
      </c>
    </row>
    <row r="29" spans="2:51" ht="15">
      <c r="B29" s="8" t="str">
        <f t="shared" si="12"/>
        <v/>
      </c>
      <c r="C29" s="9" t="str">
        <f>IF($A$2=1,"",_xlfn.IFERROR(MATCH($T$29,'Tabela PS'!D:D,0)+B28,""))</f>
        <v/>
      </c>
      <c r="D29" s="28" t="s">
        <v>2778</v>
      </c>
      <c r="E29" s="21" t="s">
        <v>742</v>
      </c>
      <c r="F29" s="20" t="s">
        <v>676</v>
      </c>
      <c r="G29" s="28" t="s">
        <v>2777</v>
      </c>
      <c r="H29" s="20" t="s">
        <v>3347</v>
      </c>
      <c r="I29" s="335">
        <v>3636802.5</v>
      </c>
      <c r="J29" s="335">
        <v>3467538.1</v>
      </c>
      <c r="K29" s="335">
        <v>3648203.4</v>
      </c>
      <c r="L29" s="335">
        <v>3106514.6</v>
      </c>
      <c r="M29" s="335">
        <v>3155928.5</v>
      </c>
      <c r="N29" s="335">
        <v>3396270.2</v>
      </c>
      <c r="O29" s="335">
        <v>3566070.6</v>
      </c>
      <c r="P29" s="335">
        <v>3594449.1</v>
      </c>
      <c r="Q29" s="335">
        <v>3944164.3</v>
      </c>
      <c r="R29" s="335">
        <v>4260317.4</v>
      </c>
      <c r="S29" s="22" t="s">
        <v>693</v>
      </c>
      <c r="T29" s="22" t="str">
        <f>INDEX(T2:T27,$S$30,1)</f>
        <v>CHEMIKALIA I WYROBY CHEMICZNE</v>
      </c>
      <c r="W29" s="22">
        <f>VLOOKUP($T29,$D$2:$I$345,6,0)</f>
        <v>43997362.7</v>
      </c>
      <c r="X29" s="22">
        <f>VLOOKUP($T29,$D$2:$J$345,7,0)</f>
        <v>56432043.4</v>
      </c>
      <c r="Y29" s="22">
        <f>VLOOKUP($T29,$D$2:$K$345,8,0)</f>
        <v>60913892.5</v>
      </c>
      <c r="Z29" s="22">
        <f>VLOOKUP($T29,$D$2:$L$345,9,0)</f>
        <v>61219403.5</v>
      </c>
      <c r="AA29" s="22">
        <f>VLOOKUP($T29,$D$2:$M$345,10,0)</f>
        <v>59023634.7</v>
      </c>
      <c r="AB29" s="22">
        <f>VLOOKUP($T29,$D$2:$N$345,11,0)</f>
        <v>60753386.9</v>
      </c>
      <c r="AC29" s="22">
        <f>VLOOKUP($T29,$D$2:$O$345,12,0)</f>
        <v>61122833.2</v>
      </c>
      <c r="AD29" s="22">
        <f>VLOOKUP($T29,$D$2:$P$345,13,0)</f>
        <v>65853552.6</v>
      </c>
      <c r="AE29" s="22">
        <f>VLOOKUP($T29,$D$2:$Q$345,14,0)</f>
        <v>67388819.8</v>
      </c>
      <c r="AF29" s="22">
        <f>VLOOKUP($T29,$D$2:$R$345,15,0)</f>
        <v>69949700.1</v>
      </c>
      <c r="AG29" s="32">
        <v>2</v>
      </c>
      <c r="AL29" s="25">
        <v>28</v>
      </c>
      <c r="AM29" s="25" t="str">
        <f>_xlfn.IFERROR(INDEX('Tabela PS'!D:E,'Tabela PS'!C29,1),"")</f>
        <v/>
      </c>
      <c r="AN29" s="25" t="str">
        <f>_xlfn.IFERROR(INDEX('Tabela PS'!D:G,'Tabela PS'!C29,4),"")</f>
        <v/>
      </c>
      <c r="AO29" s="25" t="str">
        <f>_xlfn.IFERROR(INDEX('Tabela PS'!$I:$Q,'Tabela PS'!C29,1),"")</f>
        <v/>
      </c>
      <c r="AP29" s="25" t="str">
        <f>_xlfn.IFERROR(INDEX('Tabela PS'!$I:$Q,'Tabela PS'!C29,2),"")</f>
        <v/>
      </c>
      <c r="AQ29" s="25" t="str">
        <f>_xlfn.IFERROR(INDEX('Tabela PS'!$I:$Q,'Tabela PS'!C29,3),"")</f>
        <v/>
      </c>
      <c r="AR29" s="25" t="str">
        <f>_xlfn.IFERROR(INDEX('Tabela PS'!$I:$Q,'Tabela PS'!C29,4),"")</f>
        <v/>
      </c>
      <c r="AS29" s="25" t="str">
        <f>_xlfn.IFERROR(INDEX('Tabela PS'!$I:$Q,'Tabela PS'!C29,5),"")</f>
        <v/>
      </c>
      <c r="AT29" s="25" t="str">
        <f>_xlfn.IFERROR(INDEX('Tabela PS'!$I:$Q,'Tabela PS'!C29,6),"")</f>
        <v/>
      </c>
      <c r="AU29" s="25" t="str">
        <f>_xlfn.IFERROR(INDEX('Tabela PS'!$I:$Q,'Tabela PS'!C29,7),"")</f>
        <v/>
      </c>
      <c r="AV29" s="25" t="str">
        <f>_xlfn.IFERROR(INDEX('Tabela PS'!$I:$Q,'Tabela PS'!C29,8),"")</f>
        <v/>
      </c>
      <c r="AW29" s="25" t="str">
        <f>_xlfn.IFERROR(INDEX('Tabela PS'!$I:$Q,'Tabela PS'!C29,9),"")</f>
        <v/>
      </c>
      <c r="AX29" s="25" t="str">
        <f>_xlfn.IFERROR(INDEX('Tabela PS'!$I:$R,'Tabela PS'!C29,10),"")</f>
        <v/>
      </c>
      <c r="AY29" s="26" t="str">
        <f t="shared" si="14"/>
        <v/>
      </c>
    </row>
    <row r="30" spans="2:51" ht="15">
      <c r="B30" s="8" t="str">
        <f t="shared" si="12"/>
        <v/>
      </c>
      <c r="C30" s="9" t="str">
        <f>IF($A$2=1,"",_xlfn.IFERROR(MATCH($T$29,'Tabela PS'!D:D,0)+B29,""))</f>
        <v/>
      </c>
      <c r="D30" s="28" t="s">
        <v>2780</v>
      </c>
      <c r="E30" s="21" t="s">
        <v>743</v>
      </c>
      <c r="F30" s="20" t="s">
        <v>676</v>
      </c>
      <c r="G30" s="28" t="s">
        <v>2779</v>
      </c>
      <c r="H30" s="20" t="s">
        <v>3348</v>
      </c>
      <c r="I30" s="335">
        <v>1050647.5</v>
      </c>
      <c r="J30" s="335">
        <v>1189954.5</v>
      </c>
      <c r="K30" s="335">
        <v>1170639.3</v>
      </c>
      <c r="L30" s="335">
        <v>1002855.3</v>
      </c>
      <c r="M30" s="335">
        <v>932752.9</v>
      </c>
      <c r="N30" s="335">
        <v>830142.4</v>
      </c>
      <c r="O30" s="335">
        <v>897306.9</v>
      </c>
      <c r="P30" s="335">
        <v>843110.5</v>
      </c>
      <c r="Q30" s="335">
        <v>799912.6</v>
      </c>
      <c r="R30" s="335">
        <v>727829.8</v>
      </c>
      <c r="S30" s="33">
        <v>14</v>
      </c>
      <c r="AG30" s="32" t="str">
        <f>VLOOKUP(T29,T3:U27,2,0)</f>
        <v>20</v>
      </c>
      <c r="AL30" s="25">
        <v>29</v>
      </c>
      <c r="AM30" s="25" t="str">
        <f>_xlfn.IFERROR(INDEX('Tabela PS'!D:E,'Tabela PS'!C30,1),"")</f>
        <v/>
      </c>
      <c r="AN30" s="25" t="str">
        <f>_xlfn.IFERROR(INDEX('Tabela PS'!D:G,'Tabela PS'!C30,4),"")</f>
        <v/>
      </c>
      <c r="AO30" s="25" t="str">
        <f>_xlfn.IFERROR(INDEX('Tabela PS'!$I:$Q,'Tabela PS'!C30,1),"")</f>
        <v/>
      </c>
      <c r="AP30" s="25" t="str">
        <f>_xlfn.IFERROR(INDEX('Tabela PS'!$I:$Q,'Tabela PS'!C30,2),"")</f>
        <v/>
      </c>
      <c r="AQ30" s="25" t="str">
        <f>_xlfn.IFERROR(INDEX('Tabela PS'!$I:$Q,'Tabela PS'!C30,3),"")</f>
        <v/>
      </c>
      <c r="AR30" s="25" t="str">
        <f>_xlfn.IFERROR(INDEX('Tabela PS'!$I:$Q,'Tabela PS'!C30,4),"")</f>
        <v/>
      </c>
      <c r="AS30" s="25" t="str">
        <f>_xlfn.IFERROR(INDEX('Tabela PS'!$I:$Q,'Tabela PS'!C30,5),"")</f>
        <v/>
      </c>
      <c r="AT30" s="25" t="str">
        <f>_xlfn.IFERROR(INDEX('Tabela PS'!$I:$Q,'Tabela PS'!C30,6),"")</f>
        <v/>
      </c>
      <c r="AU30" s="25" t="str">
        <f>_xlfn.IFERROR(INDEX('Tabela PS'!$I:$Q,'Tabela PS'!C30,7),"")</f>
        <v/>
      </c>
      <c r="AV30" s="25" t="str">
        <f>_xlfn.IFERROR(INDEX('Tabela PS'!$I:$Q,'Tabela PS'!C30,8),"")</f>
        <v/>
      </c>
      <c r="AW30" s="25" t="str">
        <f>_xlfn.IFERROR(INDEX('Tabela PS'!$I:$Q,'Tabela PS'!C30,9),"")</f>
        <v/>
      </c>
      <c r="AX30" s="25" t="str">
        <f>_xlfn.IFERROR(INDEX('Tabela PS'!$I:$R,'Tabela PS'!C30,10),"")</f>
        <v/>
      </c>
      <c r="AY30" s="26" t="str">
        <f t="shared" si="14"/>
        <v/>
      </c>
    </row>
    <row r="31" spans="2:51" ht="15">
      <c r="B31" s="8" t="str">
        <f t="shared" si="12"/>
        <v/>
      </c>
      <c r="C31" s="9" t="str">
        <f>IF($A$2=1,"",_xlfn.IFERROR(MATCH($T$29,'Tabela PS'!D:D,0)+B30,""))</f>
        <v/>
      </c>
      <c r="D31" s="20" t="s">
        <v>2782</v>
      </c>
      <c r="E31" s="21" t="s">
        <v>744</v>
      </c>
      <c r="F31" s="20" t="s">
        <v>676</v>
      </c>
      <c r="G31" s="20" t="s">
        <v>2781</v>
      </c>
      <c r="H31" s="20" t="s">
        <v>3349</v>
      </c>
      <c r="I31" s="335">
        <v>20866283.8</v>
      </c>
      <c r="J31" s="335">
        <v>22860640.2</v>
      </c>
      <c r="K31" s="335">
        <v>23239417.8</v>
      </c>
      <c r="L31" s="335">
        <v>26145891.3</v>
      </c>
      <c r="M31" s="335">
        <v>26326585.1</v>
      </c>
      <c r="N31" s="335">
        <v>24030292.8</v>
      </c>
      <c r="O31" s="335">
        <v>24828162.6</v>
      </c>
      <c r="P31" s="335">
        <v>29714319.3</v>
      </c>
      <c r="Q31" s="335">
        <v>30132703.3</v>
      </c>
      <c r="R31" s="335">
        <v>31010774.3</v>
      </c>
      <c r="S31" s="22">
        <v>2010</v>
      </c>
      <c r="AG31" s="22">
        <v>17</v>
      </c>
      <c r="AL31" s="25">
        <v>30</v>
      </c>
      <c r="AM31" s="25" t="str">
        <f>_xlfn.IFERROR(INDEX('Tabela PS'!D:E,'Tabela PS'!C31,1),"")</f>
        <v/>
      </c>
      <c r="AN31" s="25" t="str">
        <f>_xlfn.IFERROR(INDEX('Tabela PS'!D:G,'Tabela PS'!C31,4),"")</f>
        <v/>
      </c>
      <c r="AO31" s="25" t="str">
        <f>_xlfn.IFERROR(INDEX('Tabela PS'!$I:$Q,'Tabela PS'!C31,1),"")</f>
        <v/>
      </c>
      <c r="AP31" s="25" t="str">
        <f>_xlfn.IFERROR(INDEX('Tabela PS'!$I:$Q,'Tabela PS'!C31,2),"")</f>
        <v/>
      </c>
      <c r="AQ31" s="25" t="str">
        <f>_xlfn.IFERROR(INDEX('Tabela PS'!$I:$Q,'Tabela PS'!C31,3),"")</f>
        <v/>
      </c>
      <c r="AR31" s="25" t="str">
        <f>_xlfn.IFERROR(INDEX('Tabela PS'!$I:$Q,'Tabela PS'!C31,4),"")</f>
        <v/>
      </c>
      <c r="AS31" s="25" t="str">
        <f>_xlfn.IFERROR(INDEX('Tabela PS'!$I:$Q,'Tabela PS'!C31,5),"")</f>
        <v/>
      </c>
      <c r="AT31" s="25" t="str">
        <f>_xlfn.IFERROR(INDEX('Tabela PS'!$I:$Q,'Tabela PS'!C31,6),"")</f>
        <v/>
      </c>
      <c r="AU31" s="25" t="str">
        <f>_xlfn.IFERROR(INDEX('Tabela PS'!$I:$Q,'Tabela PS'!C31,7),"")</f>
        <v/>
      </c>
      <c r="AV31" s="25" t="str">
        <f>_xlfn.IFERROR(INDEX('Tabela PS'!$I:$Q,'Tabela PS'!C31,8),"")</f>
        <v/>
      </c>
      <c r="AW31" s="25" t="str">
        <f>_xlfn.IFERROR(INDEX('Tabela PS'!$I:$Q,'Tabela PS'!C31,9),"")</f>
        <v/>
      </c>
      <c r="AX31" s="25" t="str">
        <f>_xlfn.IFERROR(INDEX('Tabela PS'!$I:$R,'Tabela PS'!C31,10),"")</f>
        <v/>
      </c>
      <c r="AY31" s="26" t="str">
        <f t="shared" si="14"/>
        <v/>
      </c>
    </row>
    <row r="32" spans="2:51" ht="15">
      <c r="B32" s="8" t="str">
        <f t="shared" si="12"/>
        <v/>
      </c>
      <c r="C32" s="9" t="str">
        <f>IF($A$2=1,"",_xlfn.IFERROR(MATCH($T$29,'Tabela PS'!D:D,0)+B31,""))</f>
        <v/>
      </c>
      <c r="D32" s="28" t="s">
        <v>2784</v>
      </c>
      <c r="E32" s="21" t="s">
        <v>745</v>
      </c>
      <c r="F32" s="20" t="s">
        <v>676</v>
      </c>
      <c r="G32" s="28" t="s">
        <v>2783</v>
      </c>
      <c r="H32" s="20" t="s">
        <v>3350</v>
      </c>
      <c r="I32" s="335">
        <v>19988545.1</v>
      </c>
      <c r="J32" s="335">
        <v>21923683.6</v>
      </c>
      <c r="K32" s="335">
        <v>22171375.8</v>
      </c>
      <c r="L32" s="335">
        <v>25065015.3</v>
      </c>
      <c r="M32" s="335">
        <v>25240835.3</v>
      </c>
      <c r="N32" s="335">
        <v>22949220.4</v>
      </c>
      <c r="O32" s="335">
        <v>23481213.5</v>
      </c>
      <c r="P32" s="335">
        <v>28405640.3</v>
      </c>
      <c r="Q32" s="335">
        <v>28640028.2</v>
      </c>
      <c r="R32" s="335">
        <v>29367479.8</v>
      </c>
      <c r="S32" s="22">
        <v>2011</v>
      </c>
      <c r="AL32" s="25">
        <v>31</v>
      </c>
      <c r="AM32" s="25" t="str">
        <f>_xlfn.IFERROR(INDEX('Tabela PS'!D:E,'Tabela PS'!C32,1),"")</f>
        <v/>
      </c>
      <c r="AN32" s="25" t="str">
        <f>_xlfn.IFERROR(INDEX('Tabela PS'!D:G,'Tabela PS'!C32,4),"")</f>
        <v/>
      </c>
      <c r="AO32" s="25" t="str">
        <f>_xlfn.IFERROR(INDEX('Tabela PS'!$I:$Q,'Tabela PS'!C32,1),"")</f>
        <v/>
      </c>
      <c r="AP32" s="25" t="str">
        <f>_xlfn.IFERROR(INDEX('Tabela PS'!$I:$Q,'Tabela PS'!C32,2),"")</f>
        <v/>
      </c>
      <c r="AQ32" s="25" t="str">
        <f>_xlfn.IFERROR(INDEX('Tabela PS'!$I:$Q,'Tabela PS'!C32,3),"")</f>
        <v/>
      </c>
      <c r="AR32" s="25" t="str">
        <f>_xlfn.IFERROR(INDEX('Tabela PS'!$I:$Q,'Tabela PS'!C32,4),"")</f>
        <v/>
      </c>
      <c r="AS32" s="25" t="str">
        <f>_xlfn.IFERROR(INDEX('Tabela PS'!$I:$Q,'Tabela PS'!C32,5),"")</f>
        <v/>
      </c>
      <c r="AT32" s="25" t="str">
        <f>_xlfn.IFERROR(INDEX('Tabela PS'!$I:$Q,'Tabela PS'!C32,6),"")</f>
        <v/>
      </c>
      <c r="AU32" s="25" t="str">
        <f>_xlfn.IFERROR(INDEX('Tabela PS'!$I:$Q,'Tabela PS'!C32,7),"")</f>
        <v/>
      </c>
      <c r="AV32" s="25" t="str">
        <f>_xlfn.IFERROR(INDEX('Tabela PS'!$I:$Q,'Tabela PS'!C32,8),"")</f>
        <v/>
      </c>
      <c r="AW32" s="25" t="str">
        <f>_xlfn.IFERROR(INDEX('Tabela PS'!$I:$Q,'Tabela PS'!C32,9),"")</f>
        <v/>
      </c>
      <c r="AX32" s="25" t="str">
        <f>_xlfn.IFERROR(INDEX('Tabela PS'!$I:$R,'Tabela PS'!C32,10),"")</f>
        <v/>
      </c>
      <c r="AY32" s="26" t="str">
        <f t="shared" si="14"/>
        <v/>
      </c>
    </row>
    <row r="33" spans="2:51" ht="15">
      <c r="B33" s="8" t="str">
        <f t="shared" si="12"/>
        <v/>
      </c>
      <c r="C33" s="9" t="str">
        <f>IF($A$2=1,"",_xlfn.IFERROR(MATCH($T$29,'Tabela PS'!D:D,0)+B32,""))</f>
        <v/>
      </c>
      <c r="D33" s="28" t="s">
        <v>93</v>
      </c>
      <c r="E33" s="21" t="s">
        <v>746</v>
      </c>
      <c r="F33" s="20" t="s">
        <v>676</v>
      </c>
      <c r="G33" s="28" t="s">
        <v>2785</v>
      </c>
      <c r="H33" s="20" t="s">
        <v>3351</v>
      </c>
      <c r="I33" s="335">
        <v>877738.7</v>
      </c>
      <c r="J33" s="335">
        <v>936956.6</v>
      </c>
      <c r="K33" s="335">
        <v>1068042</v>
      </c>
      <c r="L33" s="335">
        <v>1080876</v>
      </c>
      <c r="M33" s="335">
        <v>1085749.8</v>
      </c>
      <c r="N33" s="335">
        <v>1081072.4</v>
      </c>
      <c r="O33" s="335">
        <v>1346949.1</v>
      </c>
      <c r="P33" s="335">
        <v>1308679</v>
      </c>
      <c r="Q33" s="335">
        <v>1492675.1</v>
      </c>
      <c r="R33" s="335">
        <v>1643294.5</v>
      </c>
      <c r="S33" s="22">
        <v>2012</v>
      </c>
      <c r="AL33" s="25">
        <v>32</v>
      </c>
      <c r="AM33" s="25" t="str">
        <f>_xlfn.IFERROR(INDEX('Tabela PS'!D:E,'Tabela PS'!C33,1),"")</f>
        <v/>
      </c>
      <c r="AN33" s="25" t="str">
        <f>_xlfn.IFERROR(INDEX('Tabela PS'!D:G,'Tabela PS'!C33,4),"")</f>
        <v/>
      </c>
      <c r="AO33" s="25" t="str">
        <f>_xlfn.IFERROR(INDEX('Tabela PS'!$I:$Q,'Tabela PS'!C33,1),"")</f>
        <v/>
      </c>
      <c r="AP33" s="25" t="str">
        <f>_xlfn.IFERROR(INDEX('Tabela PS'!$I:$Q,'Tabela PS'!C33,2),"")</f>
        <v/>
      </c>
      <c r="AQ33" s="25" t="str">
        <f>_xlfn.IFERROR(INDEX('Tabela PS'!$I:$Q,'Tabela PS'!C33,3),"")</f>
        <v/>
      </c>
      <c r="AR33" s="25" t="str">
        <f>_xlfn.IFERROR(INDEX('Tabela PS'!$I:$Q,'Tabela PS'!C33,4),"")</f>
        <v/>
      </c>
      <c r="AS33" s="25" t="str">
        <f>_xlfn.IFERROR(INDEX('Tabela PS'!$I:$Q,'Tabela PS'!C33,5),"")</f>
        <v/>
      </c>
      <c r="AT33" s="25" t="str">
        <f>_xlfn.IFERROR(INDEX('Tabela PS'!$I:$Q,'Tabela PS'!C33,6),"")</f>
        <v/>
      </c>
      <c r="AU33" s="25" t="str">
        <f>_xlfn.IFERROR(INDEX('Tabela PS'!$I:$Q,'Tabela PS'!C33,7),"")</f>
        <v/>
      </c>
      <c r="AV33" s="25" t="str">
        <f>_xlfn.IFERROR(INDEX('Tabela PS'!$I:$Q,'Tabela PS'!C33,8),"")</f>
        <v/>
      </c>
      <c r="AW33" s="25" t="str">
        <f>_xlfn.IFERROR(INDEX('Tabela PS'!$I:$Q,'Tabela PS'!C33,9),"")</f>
        <v/>
      </c>
      <c r="AX33" s="25" t="str">
        <f>_xlfn.IFERROR(INDEX('Tabela PS'!$I:$R,'Tabela PS'!C33,10),"")</f>
        <v/>
      </c>
      <c r="AY33" s="26" t="str">
        <f t="shared" si="14"/>
        <v/>
      </c>
    </row>
    <row r="34" spans="2:51" ht="15">
      <c r="B34" s="8" t="str">
        <f t="shared" si="12"/>
        <v/>
      </c>
      <c r="C34" s="9" t="str">
        <f>IF($A$2=1,"",_xlfn.IFERROR(MATCH($T$29,'Tabela PS'!D:D,0)+B33,""))</f>
        <v/>
      </c>
      <c r="D34" s="20" t="s">
        <v>2787</v>
      </c>
      <c r="E34" s="21" t="s">
        <v>747</v>
      </c>
      <c r="F34" s="20" t="s">
        <v>676</v>
      </c>
      <c r="G34" s="20" t="s">
        <v>2786</v>
      </c>
      <c r="H34" s="20" t="s">
        <v>3352</v>
      </c>
      <c r="I34" s="335">
        <v>5199475.5</v>
      </c>
      <c r="J34" s="335">
        <v>6965835.6</v>
      </c>
      <c r="K34" s="335">
        <v>7548823.5</v>
      </c>
      <c r="L34" s="335">
        <v>7284524.6</v>
      </c>
      <c r="M34" s="335">
        <v>6624298</v>
      </c>
      <c r="N34" s="335">
        <v>6811931.4</v>
      </c>
      <c r="O34" s="335">
        <v>7391991.1</v>
      </c>
      <c r="P34" s="335">
        <v>8033928.9</v>
      </c>
      <c r="Q34" s="335">
        <v>8893879.8</v>
      </c>
      <c r="R34" s="335">
        <v>8955969.7</v>
      </c>
      <c r="S34" s="22">
        <v>2013</v>
      </c>
      <c r="AL34" s="25">
        <v>33</v>
      </c>
      <c r="AM34" s="25" t="str">
        <f>_xlfn.IFERROR(INDEX('Tabela PS'!D:E,'Tabela PS'!C34,1),"")</f>
        <v/>
      </c>
      <c r="AN34" s="25" t="str">
        <f>_xlfn.IFERROR(INDEX('Tabela PS'!D:G,'Tabela PS'!C34,4),"")</f>
        <v/>
      </c>
      <c r="AO34" s="25" t="str">
        <f>_xlfn.IFERROR(INDEX('Tabela PS'!$I:$Q,'Tabela PS'!C34,1),"")</f>
        <v/>
      </c>
      <c r="AP34" s="25" t="str">
        <f>_xlfn.IFERROR(INDEX('Tabela PS'!$I:$Q,'Tabela PS'!C34,2),"")</f>
        <v/>
      </c>
      <c r="AQ34" s="25" t="str">
        <f>_xlfn.IFERROR(INDEX('Tabela PS'!$I:$Q,'Tabela PS'!C34,3),"")</f>
        <v/>
      </c>
      <c r="AR34" s="25" t="str">
        <f>_xlfn.IFERROR(INDEX('Tabela PS'!$I:$Q,'Tabela PS'!C34,4),"")</f>
        <v/>
      </c>
      <c r="AS34" s="25" t="str">
        <f>_xlfn.IFERROR(INDEX('Tabela PS'!$I:$Q,'Tabela PS'!C34,5),"")</f>
        <v/>
      </c>
      <c r="AT34" s="25" t="str">
        <f>_xlfn.IFERROR(INDEX('Tabela PS'!$I:$Q,'Tabela PS'!C34,6),"")</f>
        <v/>
      </c>
      <c r="AU34" s="25" t="str">
        <f>_xlfn.IFERROR(INDEX('Tabela PS'!$I:$Q,'Tabela PS'!C34,7),"")</f>
        <v/>
      </c>
      <c r="AV34" s="25" t="str">
        <f>_xlfn.IFERROR(INDEX('Tabela PS'!$I:$Q,'Tabela PS'!C34,8),"")</f>
        <v/>
      </c>
      <c r="AW34" s="25" t="str">
        <f>_xlfn.IFERROR(INDEX('Tabela PS'!$I:$Q,'Tabela PS'!C34,9),"")</f>
        <v/>
      </c>
      <c r="AX34" s="25" t="str">
        <f>_xlfn.IFERROR(INDEX('Tabela PS'!$I:$R,'Tabela PS'!C34,10),"")</f>
        <v/>
      </c>
      <c r="AY34" s="26" t="str">
        <f t="shared" si="14"/>
        <v/>
      </c>
    </row>
    <row r="35" spans="2:51" ht="15">
      <c r="B35" s="8" t="str">
        <f t="shared" si="12"/>
        <v/>
      </c>
      <c r="C35" s="9" t="str">
        <f>IF($A$2=1,"",_xlfn.IFERROR(MATCH($T$29,'Tabela PS'!D:D,0)+B34,""))</f>
        <v/>
      </c>
      <c r="D35" s="28" t="s">
        <v>2789</v>
      </c>
      <c r="E35" s="21" t="s">
        <v>748</v>
      </c>
      <c r="F35" s="20" t="s">
        <v>676</v>
      </c>
      <c r="G35" s="28" t="s">
        <v>2788</v>
      </c>
      <c r="H35" s="20" t="s">
        <v>3353</v>
      </c>
      <c r="I35" s="335">
        <v>4444355.7</v>
      </c>
      <c r="J35" s="335">
        <v>5994448.3</v>
      </c>
      <c r="K35" s="335">
        <v>6479649.3</v>
      </c>
      <c r="L35" s="335">
        <v>6225305.9</v>
      </c>
      <c r="M35" s="335">
        <v>5715907.7</v>
      </c>
      <c r="N35" s="335">
        <v>5814634.3</v>
      </c>
      <c r="O35" s="335">
        <v>6228451.3</v>
      </c>
      <c r="P35" s="335">
        <v>6572779.4</v>
      </c>
      <c r="Q35" s="335">
        <v>7387783</v>
      </c>
      <c r="R35" s="335">
        <v>7620857.9</v>
      </c>
      <c r="S35" s="22">
        <v>2014</v>
      </c>
      <c r="AL35" s="25">
        <v>34</v>
      </c>
      <c r="AM35" s="25" t="str">
        <f>_xlfn.IFERROR(INDEX('Tabela PS'!D:E,'Tabela PS'!C35,1),"")</f>
        <v/>
      </c>
      <c r="AN35" s="25" t="str">
        <f>_xlfn.IFERROR(INDEX('Tabela PS'!D:G,'Tabela PS'!C35,4),"")</f>
        <v/>
      </c>
      <c r="AO35" s="25" t="str">
        <f>_xlfn.IFERROR(INDEX('Tabela PS'!$I:$Q,'Tabela PS'!C35,1),"")</f>
        <v/>
      </c>
      <c r="AP35" s="25" t="str">
        <f>_xlfn.IFERROR(INDEX('Tabela PS'!$I:$Q,'Tabela PS'!C35,2),"")</f>
        <v/>
      </c>
      <c r="AQ35" s="25" t="str">
        <f>_xlfn.IFERROR(INDEX('Tabela PS'!$I:$Q,'Tabela PS'!C35,3),"")</f>
        <v/>
      </c>
      <c r="AR35" s="25" t="str">
        <f>_xlfn.IFERROR(INDEX('Tabela PS'!$I:$Q,'Tabela PS'!C35,4),"")</f>
        <v/>
      </c>
      <c r="AS35" s="25" t="str">
        <f>_xlfn.IFERROR(INDEX('Tabela PS'!$I:$Q,'Tabela PS'!C35,5),"")</f>
        <v/>
      </c>
      <c r="AT35" s="25" t="str">
        <f>_xlfn.IFERROR(INDEX('Tabela PS'!$I:$Q,'Tabela PS'!C35,6),"")</f>
        <v/>
      </c>
      <c r="AU35" s="25" t="str">
        <f>_xlfn.IFERROR(INDEX('Tabela PS'!$I:$Q,'Tabela PS'!C35,7),"")</f>
        <v/>
      </c>
      <c r="AV35" s="25" t="str">
        <f>_xlfn.IFERROR(INDEX('Tabela PS'!$I:$Q,'Tabela PS'!C35,8),"")</f>
        <v/>
      </c>
      <c r="AW35" s="25" t="str">
        <f>_xlfn.IFERROR(INDEX('Tabela PS'!$I:$Q,'Tabela PS'!C35,9),"")</f>
        <v/>
      </c>
      <c r="AX35" s="25" t="str">
        <f>_xlfn.IFERROR(INDEX('Tabela PS'!$I:$R,'Tabela PS'!C35,10),"")</f>
        <v/>
      </c>
      <c r="AY35" s="26" t="str">
        <f t="shared" si="14"/>
        <v/>
      </c>
    </row>
    <row r="36" spans="2:51" ht="15">
      <c r="B36" s="8" t="str">
        <f t="shared" si="12"/>
        <v/>
      </c>
      <c r="C36" s="9" t="str">
        <f>IF($A$2=1,"",_xlfn.IFERROR(MATCH($T$29,'Tabela PS'!D:D,0)+B35,""))</f>
        <v/>
      </c>
      <c r="D36" s="28" t="s">
        <v>2791</v>
      </c>
      <c r="E36" s="21" t="s">
        <v>749</v>
      </c>
      <c r="F36" s="20" t="s">
        <v>676</v>
      </c>
      <c r="G36" s="28" t="s">
        <v>2790</v>
      </c>
      <c r="H36" s="20" t="s">
        <v>3354</v>
      </c>
      <c r="I36" s="335">
        <v>755119.8</v>
      </c>
      <c r="J36" s="335">
        <v>971387.3</v>
      </c>
      <c r="K36" s="335">
        <v>1069174.2</v>
      </c>
      <c r="L36" s="335">
        <v>1059218.7</v>
      </c>
      <c r="M36" s="335">
        <v>908390.3</v>
      </c>
      <c r="N36" s="335">
        <v>997297.1</v>
      </c>
      <c r="O36" s="335">
        <v>1163539.8</v>
      </c>
      <c r="P36" s="335">
        <v>1461149.5</v>
      </c>
      <c r="Q36" s="335">
        <v>1506096.8</v>
      </c>
      <c r="R36" s="335">
        <v>1335111.8</v>
      </c>
      <c r="S36" s="22">
        <v>2015</v>
      </c>
      <c r="AL36" s="25">
        <v>35</v>
      </c>
      <c r="AM36" s="25" t="str">
        <f>_xlfn.IFERROR(INDEX('Tabela PS'!D:E,'Tabela PS'!C36,1),"")</f>
        <v/>
      </c>
      <c r="AN36" s="25" t="str">
        <f>_xlfn.IFERROR(INDEX('Tabela PS'!D:G,'Tabela PS'!C36,4),"")</f>
        <v/>
      </c>
      <c r="AO36" s="25" t="str">
        <f>_xlfn.IFERROR(INDEX('Tabela PS'!$I:$Q,'Tabela PS'!C36,1),"")</f>
        <v/>
      </c>
      <c r="AP36" s="25" t="str">
        <f>_xlfn.IFERROR(INDEX('Tabela PS'!$I:$Q,'Tabela PS'!C36,2),"")</f>
        <v/>
      </c>
      <c r="AQ36" s="25" t="str">
        <f>_xlfn.IFERROR(INDEX('Tabela PS'!$I:$Q,'Tabela PS'!C36,3),"")</f>
        <v/>
      </c>
      <c r="AR36" s="25" t="str">
        <f>_xlfn.IFERROR(INDEX('Tabela PS'!$I:$Q,'Tabela PS'!C36,4),"")</f>
        <v/>
      </c>
      <c r="AS36" s="25" t="str">
        <f>_xlfn.IFERROR(INDEX('Tabela PS'!$I:$Q,'Tabela PS'!C36,5),"")</f>
        <v/>
      </c>
      <c r="AT36" s="25" t="str">
        <f>_xlfn.IFERROR(INDEX('Tabela PS'!$I:$Q,'Tabela PS'!C36,6),"")</f>
        <v/>
      </c>
      <c r="AU36" s="25" t="str">
        <f>_xlfn.IFERROR(INDEX('Tabela PS'!$I:$Q,'Tabela PS'!C36,7),"")</f>
        <v/>
      </c>
      <c r="AV36" s="25" t="str">
        <f>_xlfn.IFERROR(INDEX('Tabela PS'!$I:$Q,'Tabela PS'!C36,8),"")</f>
        <v/>
      </c>
      <c r="AW36" s="25" t="str">
        <f>_xlfn.IFERROR(INDEX('Tabela PS'!$I:$Q,'Tabela PS'!C36,9),"")</f>
        <v/>
      </c>
      <c r="AX36" s="25" t="str">
        <f>_xlfn.IFERROR(INDEX('Tabela PS'!$I:$R,'Tabela PS'!C36,10),"")</f>
        <v/>
      </c>
      <c r="AY36" s="26" t="str">
        <f t="shared" si="14"/>
        <v/>
      </c>
    </row>
    <row r="37" spans="2:40" ht="15">
      <c r="B37" s="8" t="str">
        <f t="shared" si="12"/>
        <v/>
      </c>
      <c r="C37" s="9" t="str">
        <f>IF($A$2=1,"",_xlfn.IFERROR(MATCH($T$29,'Tabela PS'!D:D,0)+B36,""))</f>
        <v/>
      </c>
      <c r="D37" s="20" t="s">
        <v>2793</v>
      </c>
      <c r="E37" s="21" t="s">
        <v>750</v>
      </c>
      <c r="F37" s="20" t="s">
        <v>676</v>
      </c>
      <c r="G37" s="20" t="s">
        <v>2792</v>
      </c>
      <c r="H37" s="20" t="s">
        <v>3355</v>
      </c>
      <c r="I37" s="335">
        <v>12230221.4</v>
      </c>
      <c r="J37" s="335">
        <v>12832001.5</v>
      </c>
      <c r="K37" s="335">
        <v>14255029.4</v>
      </c>
      <c r="L37" s="335">
        <v>13319311.2</v>
      </c>
      <c r="M37" s="335">
        <v>13461251.3</v>
      </c>
      <c r="N37" s="335">
        <v>13419378.6</v>
      </c>
      <c r="O37" s="335">
        <v>13847993.9</v>
      </c>
      <c r="P37" s="335">
        <v>14480245</v>
      </c>
      <c r="Q37" s="335">
        <v>15062291.6</v>
      </c>
      <c r="R37" s="335">
        <v>15964614.7</v>
      </c>
      <c r="S37" s="22">
        <v>2016</v>
      </c>
      <c r="AM37" s="25"/>
      <c r="AN37" s="25"/>
    </row>
    <row r="38" spans="2:40" ht="15">
      <c r="B38" s="8" t="str">
        <f t="shared" si="12"/>
        <v/>
      </c>
      <c r="C38" s="9" t="str">
        <f>IF($A$2=1,"",_xlfn.IFERROR(MATCH($T$29,'Tabela PS'!D:D,0)+B37,""))</f>
        <v/>
      </c>
      <c r="D38" s="28" t="s">
        <v>2795</v>
      </c>
      <c r="E38" s="21" t="s">
        <v>751</v>
      </c>
      <c r="F38" s="20" t="s">
        <v>676</v>
      </c>
      <c r="G38" s="28" t="s">
        <v>2794</v>
      </c>
      <c r="H38" s="20" t="s">
        <v>3356</v>
      </c>
      <c r="I38" s="335">
        <v>8047813.5</v>
      </c>
      <c r="J38" s="335">
        <v>8577745.2</v>
      </c>
      <c r="K38" s="335">
        <v>9687622.9</v>
      </c>
      <c r="L38" s="335">
        <v>9062796.4</v>
      </c>
      <c r="M38" s="335">
        <v>9404314.2</v>
      </c>
      <c r="N38" s="335">
        <v>9595658.5</v>
      </c>
      <c r="O38" s="335">
        <v>9889448</v>
      </c>
      <c r="P38" s="335">
        <v>10305585.3</v>
      </c>
      <c r="Q38" s="335">
        <v>10825718.4</v>
      </c>
      <c r="R38" s="335">
        <v>11281083.4</v>
      </c>
      <c r="S38" s="22">
        <v>2017</v>
      </c>
      <c r="AM38" s="25"/>
      <c r="AN38" s="25"/>
    </row>
    <row r="39" spans="2:40" ht="15">
      <c r="B39" s="8" t="str">
        <f t="shared" si="12"/>
        <v/>
      </c>
      <c r="C39" s="9" t="str">
        <f>IF($A$2=1,"",_xlfn.IFERROR(MATCH($T$29,'Tabela PS'!D:D,0)+B38,""))</f>
        <v/>
      </c>
      <c r="D39" s="28" t="s">
        <v>2797</v>
      </c>
      <c r="E39" s="21" t="s">
        <v>752</v>
      </c>
      <c r="F39" s="20" t="s">
        <v>676</v>
      </c>
      <c r="G39" s="28" t="s">
        <v>2796</v>
      </c>
      <c r="H39" s="20" t="s">
        <v>3357</v>
      </c>
      <c r="I39" s="335">
        <v>3580197.5</v>
      </c>
      <c r="J39" s="335">
        <v>3605352.6</v>
      </c>
      <c r="K39" s="335">
        <v>3900926</v>
      </c>
      <c r="L39" s="335">
        <v>3552784.2</v>
      </c>
      <c r="M39" s="335">
        <v>3364490.5</v>
      </c>
      <c r="N39" s="335">
        <v>3175053.7</v>
      </c>
      <c r="O39" s="335">
        <v>3327548.9</v>
      </c>
      <c r="P39" s="335">
        <v>3508101.4</v>
      </c>
      <c r="Q39" s="335">
        <v>3534691.1</v>
      </c>
      <c r="R39" s="335">
        <v>3968007.2</v>
      </c>
      <c r="S39" s="22">
        <v>2018</v>
      </c>
      <c r="AM39" s="25"/>
      <c r="AN39" s="25"/>
    </row>
    <row r="40" spans="2:40" ht="15">
      <c r="B40" s="8" t="str">
        <f t="shared" si="12"/>
        <v/>
      </c>
      <c r="C40" s="9" t="str">
        <f>IF($A$2=1,"",_xlfn.IFERROR(MATCH($T$29,'Tabela PS'!D:D,0)+B39,""))</f>
        <v/>
      </c>
      <c r="D40" s="28" t="s">
        <v>2799</v>
      </c>
      <c r="E40" s="21" t="s">
        <v>753</v>
      </c>
      <c r="F40" s="20" t="s">
        <v>676</v>
      </c>
      <c r="G40" s="28" t="s">
        <v>2798</v>
      </c>
      <c r="H40" s="20" t="s">
        <v>3358</v>
      </c>
      <c r="I40" s="335">
        <v>602210.4</v>
      </c>
      <c r="J40" s="335">
        <v>648903.7</v>
      </c>
      <c r="K40" s="335">
        <v>666480.5</v>
      </c>
      <c r="L40" s="335">
        <v>703730.6</v>
      </c>
      <c r="M40" s="335">
        <v>692446.6</v>
      </c>
      <c r="N40" s="335">
        <v>648666.4</v>
      </c>
      <c r="O40" s="335">
        <v>630997</v>
      </c>
      <c r="P40" s="335">
        <v>666558.3</v>
      </c>
      <c r="Q40" s="335">
        <v>701882.1</v>
      </c>
      <c r="R40" s="335">
        <v>715524.1</v>
      </c>
      <c r="S40" s="22">
        <v>2019</v>
      </c>
      <c r="AM40" s="25"/>
      <c r="AN40" s="25"/>
    </row>
    <row r="41" spans="2:40" ht="15">
      <c r="B41" s="8" t="str">
        <f t="shared" si="12"/>
        <v/>
      </c>
      <c r="D41" s="20" t="s">
        <v>2801</v>
      </c>
      <c r="E41" s="21" t="s">
        <v>754</v>
      </c>
      <c r="F41" s="20" t="s">
        <v>676</v>
      </c>
      <c r="G41" s="20" t="s">
        <v>2800</v>
      </c>
      <c r="H41" s="20" t="s">
        <v>3359</v>
      </c>
      <c r="I41" s="335">
        <v>21187201.4</v>
      </c>
      <c r="J41" s="335">
        <v>23470182.5</v>
      </c>
      <c r="K41" s="335">
        <v>26299198.8</v>
      </c>
      <c r="L41" s="335">
        <v>26389581.1</v>
      </c>
      <c r="M41" s="335">
        <v>24593029.6</v>
      </c>
      <c r="N41" s="335">
        <v>23834770.2</v>
      </c>
      <c r="O41" s="335">
        <v>27039351.4</v>
      </c>
      <c r="P41" s="335">
        <v>28343485.4</v>
      </c>
      <c r="Q41" s="335">
        <v>28845749.8</v>
      </c>
      <c r="R41" s="335">
        <v>29489765.5</v>
      </c>
      <c r="S41" s="33">
        <f>2009+S42</f>
        <v>2019</v>
      </c>
      <c r="AM41" s="25"/>
      <c r="AN41" s="25"/>
    </row>
    <row r="42" spans="2:40" ht="15">
      <c r="B42" s="8" t="str">
        <f t="shared" si="12"/>
        <v/>
      </c>
      <c r="D42" s="28" t="s">
        <v>2803</v>
      </c>
      <c r="E42" s="21" t="s">
        <v>755</v>
      </c>
      <c r="F42" s="20" t="s">
        <v>676</v>
      </c>
      <c r="G42" s="28" t="s">
        <v>2802</v>
      </c>
      <c r="H42" s="20" t="s">
        <v>3360</v>
      </c>
      <c r="I42" s="335">
        <v>3867175.5</v>
      </c>
      <c r="J42" s="335">
        <v>4736692.3</v>
      </c>
      <c r="K42" s="335">
        <v>5767229.5</v>
      </c>
      <c r="L42" s="335">
        <v>5238182.8</v>
      </c>
      <c r="M42" s="335">
        <v>3826479</v>
      </c>
      <c r="N42" s="335">
        <v>3369362.6</v>
      </c>
      <c r="O42" s="335">
        <v>4228295.3</v>
      </c>
      <c r="P42" s="335">
        <v>4384525.2</v>
      </c>
      <c r="Q42" s="335">
        <v>3873576</v>
      </c>
      <c r="R42" s="335">
        <v>3835866.6</v>
      </c>
      <c r="S42" s="33">
        <v>10</v>
      </c>
      <c r="AM42" s="25"/>
      <c r="AN42" s="25"/>
    </row>
    <row r="43" spans="2:40" ht="15">
      <c r="B43" s="8" t="str">
        <f t="shared" si="12"/>
        <v/>
      </c>
      <c r="D43" s="28" t="s">
        <v>2805</v>
      </c>
      <c r="E43" s="21" t="s">
        <v>756</v>
      </c>
      <c r="F43" s="20" t="s">
        <v>676</v>
      </c>
      <c r="G43" s="28" t="s">
        <v>2804</v>
      </c>
      <c r="H43" s="20" t="s">
        <v>3361</v>
      </c>
      <c r="I43" s="335">
        <v>6912753.4</v>
      </c>
      <c r="J43" s="335">
        <v>8222294.3</v>
      </c>
      <c r="K43" s="335">
        <v>8807762</v>
      </c>
      <c r="L43" s="335">
        <v>9043566.3</v>
      </c>
      <c r="M43" s="335">
        <v>7265354.6</v>
      </c>
      <c r="N43" s="335">
        <v>5880433.2</v>
      </c>
      <c r="O43" s="335">
        <v>6620381</v>
      </c>
      <c r="P43" s="335">
        <v>6817390.1</v>
      </c>
      <c r="Q43" s="335">
        <v>6996503</v>
      </c>
      <c r="R43" s="335">
        <v>7019741.7</v>
      </c>
      <c r="AM43" s="25"/>
      <c r="AN43" s="25"/>
    </row>
    <row r="44" spans="2:40" ht="15">
      <c r="B44" s="8" t="str">
        <f t="shared" si="12"/>
        <v/>
      </c>
      <c r="D44" s="28" t="s">
        <v>2807</v>
      </c>
      <c r="E44" s="21" t="s">
        <v>757</v>
      </c>
      <c r="F44" s="20" t="s">
        <v>676</v>
      </c>
      <c r="G44" s="28" t="s">
        <v>2806</v>
      </c>
      <c r="H44" s="20" t="s">
        <v>3362</v>
      </c>
      <c r="I44" s="335">
        <v>1581535.1</v>
      </c>
      <c r="J44" s="335">
        <v>2273640.7</v>
      </c>
      <c r="K44" s="335">
        <v>2755410.7</v>
      </c>
      <c r="L44" s="335">
        <v>2428552</v>
      </c>
      <c r="M44" s="335">
        <v>2377628.3</v>
      </c>
      <c r="N44" s="335">
        <v>2555131.2</v>
      </c>
      <c r="O44" s="335">
        <v>2748609.9</v>
      </c>
      <c r="P44" s="335">
        <v>2835862</v>
      </c>
      <c r="Q44" s="335">
        <v>2897784.7</v>
      </c>
      <c r="R44" s="335">
        <v>3294613.8</v>
      </c>
      <c r="AM44" s="25"/>
      <c r="AN44" s="25"/>
    </row>
    <row r="45" spans="2:40" ht="15">
      <c r="B45" s="8" t="str">
        <f t="shared" si="12"/>
        <v/>
      </c>
      <c r="D45" s="28" t="s">
        <v>2809</v>
      </c>
      <c r="E45" s="21" t="s">
        <v>758</v>
      </c>
      <c r="F45" s="20" t="s">
        <v>676</v>
      </c>
      <c r="G45" s="28" t="s">
        <v>2808</v>
      </c>
      <c r="H45" s="20" t="s">
        <v>3363</v>
      </c>
      <c r="I45" s="335">
        <v>2762525.2</v>
      </c>
      <c r="J45" s="335">
        <v>2675668.1</v>
      </c>
      <c r="K45" s="335">
        <v>2911471.9</v>
      </c>
      <c r="L45" s="335">
        <v>3223347.6</v>
      </c>
      <c r="M45" s="335">
        <v>2876745.5</v>
      </c>
      <c r="N45" s="335">
        <v>2985031</v>
      </c>
      <c r="O45" s="335">
        <v>3181720.5</v>
      </c>
      <c r="P45" s="335">
        <v>3272401.3</v>
      </c>
      <c r="Q45" s="335">
        <v>3405213.1</v>
      </c>
      <c r="R45" s="335">
        <v>3454086.8</v>
      </c>
      <c r="AM45" s="25"/>
      <c r="AN45" s="25"/>
    </row>
    <row r="46" spans="2:40" ht="15">
      <c r="B46" s="8" t="str">
        <f t="shared" si="12"/>
        <v/>
      </c>
      <c r="D46" s="28" t="s">
        <v>2811</v>
      </c>
      <c r="E46" s="21" t="s">
        <v>759</v>
      </c>
      <c r="F46" s="20" t="s">
        <v>676</v>
      </c>
      <c r="G46" s="28" t="s">
        <v>2810</v>
      </c>
      <c r="H46" s="20" t="s">
        <v>3364</v>
      </c>
      <c r="I46" s="335">
        <v>775626.9</v>
      </c>
      <c r="J46" s="335">
        <v>872844.1</v>
      </c>
      <c r="K46" s="335">
        <v>956191.1</v>
      </c>
      <c r="L46" s="335">
        <v>962963.1</v>
      </c>
      <c r="M46" s="335" t="s">
        <v>2740</v>
      </c>
      <c r="N46" s="335" t="s">
        <v>2740</v>
      </c>
      <c r="O46" s="335">
        <v>1616762.5</v>
      </c>
      <c r="P46" s="335">
        <v>1702567.6</v>
      </c>
      <c r="Q46" s="335">
        <v>1942771</v>
      </c>
      <c r="R46" s="335">
        <v>2138156.1</v>
      </c>
      <c r="AM46" s="25"/>
      <c r="AN46" s="25"/>
    </row>
    <row r="47" spans="2:40" ht="15">
      <c r="B47" s="8" t="str">
        <f t="shared" si="12"/>
        <v/>
      </c>
      <c r="D47" s="28" t="s">
        <v>2813</v>
      </c>
      <c r="E47" s="21" t="s">
        <v>760</v>
      </c>
      <c r="F47" s="20" t="s">
        <v>676</v>
      </c>
      <c r="G47" s="28" t="s">
        <v>2812</v>
      </c>
      <c r="H47" s="20" t="s">
        <v>3365</v>
      </c>
      <c r="I47" s="335">
        <v>712714.7</v>
      </c>
      <c r="J47" s="335">
        <v>908865.4</v>
      </c>
      <c r="K47" s="335">
        <v>833475.9</v>
      </c>
      <c r="L47" s="335">
        <v>895744.1</v>
      </c>
      <c r="M47" s="335" t="s">
        <v>2740</v>
      </c>
      <c r="N47" s="335" t="s">
        <v>2740</v>
      </c>
      <c r="O47" s="335">
        <v>1481966.5</v>
      </c>
      <c r="P47" s="335">
        <v>1554413.7</v>
      </c>
      <c r="Q47" s="335">
        <v>1622620.6</v>
      </c>
      <c r="R47" s="335">
        <v>1686100.3</v>
      </c>
      <c r="AM47" s="25"/>
      <c r="AN47" s="25"/>
    </row>
    <row r="48" spans="2:40" ht="15">
      <c r="B48" s="8" t="str">
        <f t="shared" si="12"/>
        <v/>
      </c>
      <c r="D48" s="28" t="s">
        <v>2815</v>
      </c>
      <c r="E48" s="21" t="s">
        <v>761</v>
      </c>
      <c r="F48" s="20" t="s">
        <v>676</v>
      </c>
      <c r="G48" s="28" t="s">
        <v>2814</v>
      </c>
      <c r="H48" s="20" t="s">
        <v>3366</v>
      </c>
      <c r="I48" s="335">
        <v>4574870.6</v>
      </c>
      <c r="J48" s="335">
        <v>3780177.6</v>
      </c>
      <c r="K48" s="335">
        <v>4267657.7</v>
      </c>
      <c r="L48" s="335">
        <v>4597225.2</v>
      </c>
      <c r="M48" s="335">
        <v>6189288.8</v>
      </c>
      <c r="N48" s="335">
        <v>6270783.8</v>
      </c>
      <c r="O48" s="335">
        <v>7161615.7</v>
      </c>
      <c r="P48" s="335">
        <v>7776325.5</v>
      </c>
      <c r="Q48" s="335">
        <v>8107281.4</v>
      </c>
      <c r="R48" s="335">
        <v>8061200.2</v>
      </c>
      <c r="AM48" s="25"/>
      <c r="AN48" s="25"/>
    </row>
    <row r="49" spans="2:40" ht="15">
      <c r="B49" s="8" t="str">
        <f t="shared" si="12"/>
        <v/>
      </c>
      <c r="D49" s="20" t="s">
        <v>2817</v>
      </c>
      <c r="E49" s="21" t="s">
        <v>762</v>
      </c>
      <c r="F49" s="20" t="s">
        <v>676</v>
      </c>
      <c r="G49" s="20" t="s">
        <v>2816</v>
      </c>
      <c r="H49" s="20" t="s">
        <v>3367</v>
      </c>
      <c r="I49" s="335">
        <v>9832601.6</v>
      </c>
      <c r="J49" s="335">
        <v>11525107.3</v>
      </c>
      <c r="K49" s="335">
        <v>13815513.8</v>
      </c>
      <c r="L49" s="335">
        <v>14129506.9</v>
      </c>
      <c r="M49" s="335">
        <v>13460438.7</v>
      </c>
      <c r="N49" s="335">
        <v>14892551.7</v>
      </c>
      <c r="O49" s="335">
        <v>14786858.2</v>
      </c>
      <c r="P49" s="335">
        <v>15888117</v>
      </c>
      <c r="Q49" s="335">
        <v>18082242.9</v>
      </c>
      <c r="R49" s="335">
        <v>17884062.1</v>
      </c>
      <c r="AM49" s="25"/>
      <c r="AN49" s="25"/>
    </row>
    <row r="50" spans="2:40" ht="15">
      <c r="B50" s="8" t="str">
        <f t="shared" si="12"/>
        <v/>
      </c>
      <c r="D50" s="28" t="s">
        <v>119</v>
      </c>
      <c r="E50" s="21" t="s">
        <v>763</v>
      </c>
      <c r="F50" s="20" t="s">
        <v>676</v>
      </c>
      <c r="G50" s="28" t="s">
        <v>2818</v>
      </c>
      <c r="H50" s="20" t="s">
        <v>3368</v>
      </c>
      <c r="I50" s="335">
        <v>8442328.7</v>
      </c>
      <c r="J50" s="335">
        <v>10001999.3</v>
      </c>
      <c r="K50" s="335">
        <v>12088892.9</v>
      </c>
      <c r="L50" s="335">
        <v>12247810.2</v>
      </c>
      <c r="M50" s="335">
        <v>11430652.2</v>
      </c>
      <c r="N50" s="335">
        <v>12046349.8</v>
      </c>
      <c r="O50" s="335">
        <v>12491287.7</v>
      </c>
      <c r="P50" s="335">
        <v>13601148.8</v>
      </c>
      <c r="Q50" s="335">
        <v>14261521.5</v>
      </c>
      <c r="R50" s="335">
        <v>14386416.6</v>
      </c>
      <c r="AM50" s="25"/>
      <c r="AN50" s="25"/>
    </row>
    <row r="51" spans="2:40" ht="15">
      <c r="B51" s="8" t="str">
        <f t="shared" si="12"/>
        <v/>
      </c>
      <c r="D51" s="28" t="s">
        <v>120</v>
      </c>
      <c r="E51" s="21" t="s">
        <v>764</v>
      </c>
      <c r="F51" s="20" t="s">
        <v>676</v>
      </c>
      <c r="G51" s="28" t="s">
        <v>2819</v>
      </c>
      <c r="H51" s="20" t="s">
        <v>3369</v>
      </c>
      <c r="I51" s="335">
        <v>1390272.9</v>
      </c>
      <c r="J51" s="335">
        <v>1523108</v>
      </c>
      <c r="K51" s="335">
        <v>1726620.9</v>
      </c>
      <c r="L51" s="335">
        <v>1881696.7</v>
      </c>
      <c r="M51" s="335">
        <v>2029786.5</v>
      </c>
      <c r="N51" s="335">
        <v>2846201.9</v>
      </c>
      <c r="O51" s="335">
        <v>2295570.5</v>
      </c>
      <c r="P51" s="335">
        <v>2286968.2</v>
      </c>
      <c r="Q51" s="335">
        <v>3820721.4</v>
      </c>
      <c r="R51" s="335">
        <v>3497645.5</v>
      </c>
      <c r="AM51" s="25"/>
      <c r="AN51" s="25"/>
    </row>
    <row r="52" spans="2:40" ht="15">
      <c r="B52" s="8" t="str">
        <f t="shared" si="12"/>
        <v/>
      </c>
      <c r="D52" s="20" t="s">
        <v>121</v>
      </c>
      <c r="E52" s="21" t="s">
        <v>765</v>
      </c>
      <c r="F52" s="20" t="s">
        <v>677</v>
      </c>
      <c r="G52" s="20" t="s">
        <v>677</v>
      </c>
      <c r="H52" s="20" t="s">
        <v>3370</v>
      </c>
      <c r="I52" s="335">
        <v>27599138.7</v>
      </c>
      <c r="J52" s="335">
        <v>28652477.1</v>
      </c>
      <c r="K52" s="335">
        <v>30309627.4</v>
      </c>
      <c r="L52" s="335">
        <v>30985923.1</v>
      </c>
      <c r="M52" s="335">
        <v>30361556</v>
      </c>
      <c r="N52" s="335">
        <v>29650401.7</v>
      </c>
      <c r="O52" s="335">
        <v>29681886.8</v>
      </c>
      <c r="P52" s="335">
        <v>30004826.9</v>
      </c>
      <c r="Q52" s="335">
        <v>31495106.5</v>
      </c>
      <c r="R52" s="335">
        <v>33374156.4</v>
      </c>
      <c r="AM52" s="25"/>
      <c r="AN52" s="25"/>
    </row>
    <row r="53" spans="2:40" ht="15">
      <c r="B53" s="8" t="str">
        <f t="shared" si="12"/>
        <v/>
      </c>
      <c r="D53" s="20" t="s">
        <v>2821</v>
      </c>
      <c r="E53" s="21" t="s">
        <v>766</v>
      </c>
      <c r="F53" s="20" t="s">
        <v>677</v>
      </c>
      <c r="G53" s="20" t="s">
        <v>2820</v>
      </c>
      <c r="H53" s="20" t="s">
        <v>3371</v>
      </c>
      <c r="I53" s="335">
        <v>27599138.7</v>
      </c>
      <c r="J53" s="335">
        <v>28652477.1</v>
      </c>
      <c r="K53" s="335">
        <v>30309627.4</v>
      </c>
      <c r="L53" s="335">
        <v>30985923.1</v>
      </c>
      <c r="M53" s="335">
        <v>30361556</v>
      </c>
      <c r="N53" s="335">
        <v>29650401.7</v>
      </c>
      <c r="O53" s="335">
        <v>29681886.8</v>
      </c>
      <c r="P53" s="335">
        <v>30004826.9</v>
      </c>
      <c r="Q53" s="335">
        <v>31495106.5</v>
      </c>
      <c r="R53" s="335">
        <v>33374156.4</v>
      </c>
      <c r="AM53" s="25"/>
      <c r="AN53" s="25"/>
    </row>
    <row r="54" spans="2:40" ht="15">
      <c r="B54" s="8" t="str">
        <f t="shared" si="12"/>
        <v/>
      </c>
      <c r="D54" s="28" t="s">
        <v>2823</v>
      </c>
      <c r="E54" s="21" t="s">
        <v>767</v>
      </c>
      <c r="F54" s="20" t="s">
        <v>677</v>
      </c>
      <c r="G54" s="28" t="s">
        <v>2822</v>
      </c>
      <c r="H54" s="20" t="s">
        <v>3372</v>
      </c>
      <c r="I54" s="335">
        <v>7885422.2</v>
      </c>
      <c r="J54" s="335">
        <v>8183590.5</v>
      </c>
      <c r="K54" s="335">
        <v>8034110.2</v>
      </c>
      <c r="L54" s="335">
        <v>9001292.6</v>
      </c>
      <c r="M54" s="335">
        <v>8563429.6</v>
      </c>
      <c r="N54" s="335">
        <v>8674982.3</v>
      </c>
      <c r="O54" s="335">
        <v>9042414.2</v>
      </c>
      <c r="P54" s="335">
        <v>9056303.1</v>
      </c>
      <c r="Q54" s="335">
        <v>9140685.7</v>
      </c>
      <c r="R54" s="335">
        <v>10091793.1</v>
      </c>
      <c r="AM54" s="25"/>
      <c r="AN54" s="25"/>
    </row>
    <row r="55" spans="2:40" ht="15">
      <c r="B55" s="8" t="str">
        <f t="shared" si="12"/>
        <v/>
      </c>
      <c r="D55" s="28" t="s">
        <v>124</v>
      </c>
      <c r="E55" s="21" t="s">
        <v>768</v>
      </c>
      <c r="F55" s="20" t="s">
        <v>677</v>
      </c>
      <c r="G55" s="28" t="s">
        <v>2824</v>
      </c>
      <c r="H55" s="20" t="s">
        <v>3373</v>
      </c>
      <c r="I55" s="335">
        <v>65726</v>
      </c>
      <c r="J55" s="335" t="s">
        <v>2740</v>
      </c>
      <c r="K55" s="335">
        <v>62128.6</v>
      </c>
      <c r="L55" s="335">
        <v>103026.5</v>
      </c>
      <c r="M55" s="335">
        <v>98165.2</v>
      </c>
      <c r="N55" s="335">
        <v>109431.6</v>
      </c>
      <c r="O55" s="335">
        <v>109267.8</v>
      </c>
      <c r="P55" s="335" t="s">
        <v>2740</v>
      </c>
      <c r="Q55" s="335" t="s">
        <v>2740</v>
      </c>
      <c r="R55" s="335" t="s">
        <v>2740</v>
      </c>
      <c r="AM55" s="25"/>
      <c r="AN55" s="25"/>
    </row>
    <row r="56" spans="2:40" ht="15">
      <c r="B56" s="8" t="str">
        <f t="shared" si="12"/>
        <v/>
      </c>
      <c r="D56" s="28" t="s">
        <v>2826</v>
      </c>
      <c r="E56" s="21" t="s">
        <v>769</v>
      </c>
      <c r="F56" s="20" t="s">
        <v>677</v>
      </c>
      <c r="G56" s="28" t="s">
        <v>2825</v>
      </c>
      <c r="H56" s="20" t="s">
        <v>3374</v>
      </c>
      <c r="I56" s="335">
        <v>671085.4</v>
      </c>
      <c r="J56" s="335">
        <v>663349.3</v>
      </c>
      <c r="K56" s="335">
        <v>678097.8</v>
      </c>
      <c r="L56" s="335">
        <v>613380.4</v>
      </c>
      <c r="M56" s="335">
        <v>633659.9</v>
      </c>
      <c r="N56" s="335">
        <v>548118.6</v>
      </c>
      <c r="O56" s="335">
        <v>539950.2</v>
      </c>
      <c r="P56" s="335">
        <v>513504</v>
      </c>
      <c r="Q56" s="335">
        <v>518228</v>
      </c>
      <c r="R56" s="335">
        <v>425936.8</v>
      </c>
      <c r="AM56" s="25"/>
      <c r="AN56" s="25"/>
    </row>
    <row r="57" spans="2:40" ht="15">
      <c r="B57" s="8" t="str">
        <f t="shared" si="12"/>
        <v/>
      </c>
      <c r="D57" s="28" t="s">
        <v>2828</v>
      </c>
      <c r="E57" s="21" t="s">
        <v>770</v>
      </c>
      <c r="F57" s="20" t="s">
        <v>677</v>
      </c>
      <c r="G57" s="28" t="s">
        <v>2827</v>
      </c>
      <c r="H57" s="20" t="s">
        <v>3375</v>
      </c>
      <c r="I57" s="335">
        <v>55382.8</v>
      </c>
      <c r="J57" s="335" t="s">
        <v>2740</v>
      </c>
      <c r="K57" s="335">
        <v>28103.9</v>
      </c>
      <c r="L57" s="335">
        <v>19437.6</v>
      </c>
      <c r="M57" s="335">
        <v>14523.3</v>
      </c>
      <c r="N57" s="335">
        <v>18642.4</v>
      </c>
      <c r="O57" s="335">
        <v>21953.3</v>
      </c>
      <c r="P57" s="335" t="s">
        <v>2740</v>
      </c>
      <c r="Q57" s="335" t="s">
        <v>2740</v>
      </c>
      <c r="R57" s="335" t="s">
        <v>2740</v>
      </c>
      <c r="AM57" s="25"/>
      <c r="AN57" s="25"/>
    </row>
    <row r="58" spans="2:40" ht="15">
      <c r="B58" s="8" t="str">
        <f t="shared" si="12"/>
        <v/>
      </c>
      <c r="D58" s="28" t="s">
        <v>2830</v>
      </c>
      <c r="E58" s="21" t="s">
        <v>771</v>
      </c>
      <c r="F58" s="20" t="s">
        <v>677</v>
      </c>
      <c r="G58" s="28" t="s">
        <v>2829</v>
      </c>
      <c r="H58" s="20" t="s">
        <v>3376</v>
      </c>
      <c r="I58" s="335">
        <v>11776844.2</v>
      </c>
      <c r="J58" s="335">
        <v>12013071.1</v>
      </c>
      <c r="K58" s="335">
        <v>12851788.7</v>
      </c>
      <c r="L58" s="335">
        <v>12378463.6</v>
      </c>
      <c r="M58" s="335">
        <v>12017809.1</v>
      </c>
      <c r="N58" s="335">
        <v>11216672.6</v>
      </c>
      <c r="O58" s="335">
        <v>11113624.6</v>
      </c>
      <c r="P58" s="335">
        <v>10890857.1</v>
      </c>
      <c r="Q58" s="335">
        <v>11456464.4</v>
      </c>
      <c r="R58" s="335">
        <v>11633592</v>
      </c>
      <c r="AM58" s="25"/>
      <c r="AN58" s="25"/>
    </row>
    <row r="59" spans="2:40" ht="15">
      <c r="B59" s="8" t="str">
        <f t="shared" si="12"/>
        <v/>
      </c>
      <c r="D59" s="28" t="s">
        <v>128</v>
      </c>
      <c r="E59" s="21" t="s">
        <v>772</v>
      </c>
      <c r="F59" s="20" t="s">
        <v>677</v>
      </c>
      <c r="G59" s="28" t="s">
        <v>2831</v>
      </c>
      <c r="H59" s="20" t="s">
        <v>3377</v>
      </c>
      <c r="I59" s="335">
        <v>422967.2</v>
      </c>
      <c r="J59" s="335">
        <v>515630.5</v>
      </c>
      <c r="K59" s="335">
        <v>639973</v>
      </c>
      <c r="L59" s="335">
        <v>646516.9</v>
      </c>
      <c r="M59" s="335">
        <v>618263</v>
      </c>
      <c r="N59" s="335">
        <v>582560.2</v>
      </c>
      <c r="O59" s="335">
        <v>587152.6</v>
      </c>
      <c r="P59" s="335">
        <v>582723.4</v>
      </c>
      <c r="Q59" s="335">
        <v>598222.3</v>
      </c>
      <c r="R59" s="335">
        <v>659268.2</v>
      </c>
      <c r="AM59" s="25"/>
      <c r="AN59" s="25"/>
    </row>
    <row r="60" spans="2:40" ht="15">
      <c r="B60" s="8" t="str">
        <f t="shared" si="12"/>
        <v/>
      </c>
      <c r="D60" s="28" t="s">
        <v>2833</v>
      </c>
      <c r="E60" s="21" t="s">
        <v>773</v>
      </c>
      <c r="F60" s="20" t="s">
        <v>677</v>
      </c>
      <c r="G60" s="28" t="s">
        <v>2832</v>
      </c>
      <c r="H60" s="20" t="s">
        <v>3378</v>
      </c>
      <c r="I60" s="335">
        <v>6721710.9</v>
      </c>
      <c r="J60" s="335">
        <v>7148906.4</v>
      </c>
      <c r="K60" s="335">
        <v>8015425.2</v>
      </c>
      <c r="L60" s="335">
        <v>8223805.5</v>
      </c>
      <c r="M60" s="335">
        <v>8415705.9</v>
      </c>
      <c r="N60" s="335">
        <v>8499994</v>
      </c>
      <c r="O60" s="335">
        <v>8267524.1</v>
      </c>
      <c r="P60" s="335">
        <v>8798963.9</v>
      </c>
      <c r="Q60" s="335">
        <v>9643496.4</v>
      </c>
      <c r="R60" s="335">
        <v>10387979.5</v>
      </c>
      <c r="AM60" s="25"/>
      <c r="AN60" s="25"/>
    </row>
    <row r="61" spans="2:40" ht="15">
      <c r="B61" s="8" t="str">
        <f t="shared" si="12"/>
        <v/>
      </c>
      <c r="D61" s="20" t="s">
        <v>133</v>
      </c>
      <c r="E61" s="21" t="s">
        <v>774</v>
      </c>
      <c r="F61" s="20" t="s">
        <v>678</v>
      </c>
      <c r="G61" s="20" t="s">
        <v>678</v>
      </c>
      <c r="H61" s="20" t="s">
        <v>3379</v>
      </c>
      <c r="I61" s="335">
        <v>17190744.3</v>
      </c>
      <c r="J61" s="335">
        <v>15388231.2</v>
      </c>
      <c r="K61" s="335">
        <v>16207922.4</v>
      </c>
      <c r="L61" s="335">
        <v>16373681.3</v>
      </c>
      <c r="M61" s="335">
        <v>17298804.4</v>
      </c>
      <c r="N61" s="335">
        <v>17786810.1</v>
      </c>
      <c r="O61" s="335">
        <v>15296161.1</v>
      </c>
      <c r="P61" s="335">
        <v>17150243.1</v>
      </c>
      <c r="Q61" s="335">
        <v>18155011.5</v>
      </c>
      <c r="R61" s="335">
        <v>17923609.1</v>
      </c>
      <c r="AM61" s="25"/>
      <c r="AN61" s="25"/>
    </row>
    <row r="62" spans="2:40" ht="15">
      <c r="B62" s="8" t="str">
        <f t="shared" si="12"/>
        <v/>
      </c>
      <c r="D62" s="20" t="s">
        <v>134</v>
      </c>
      <c r="E62" s="21" t="s">
        <v>775</v>
      </c>
      <c r="F62" s="20" t="s">
        <v>678</v>
      </c>
      <c r="G62" s="20" t="s">
        <v>2834</v>
      </c>
      <c r="H62" s="20" t="s">
        <v>3380</v>
      </c>
      <c r="I62" s="335">
        <v>17190744.3</v>
      </c>
      <c r="J62" s="335">
        <v>15388231.2</v>
      </c>
      <c r="K62" s="335">
        <v>16207922.4</v>
      </c>
      <c r="L62" s="335">
        <v>16373681.3</v>
      </c>
      <c r="M62" s="335">
        <v>17298804.4</v>
      </c>
      <c r="N62" s="335">
        <v>17786810.1</v>
      </c>
      <c r="O62" s="335">
        <v>15296161.1</v>
      </c>
      <c r="P62" s="335">
        <v>17150243.1</v>
      </c>
      <c r="Q62" s="335">
        <v>18155011.5</v>
      </c>
      <c r="R62" s="335">
        <v>17923609.1</v>
      </c>
      <c r="AM62" s="25"/>
      <c r="AN62" s="25"/>
    </row>
    <row r="63" spans="2:40" ht="15">
      <c r="B63" s="8" t="str">
        <f t="shared" si="12"/>
        <v/>
      </c>
      <c r="D63" s="28" t="s">
        <v>134</v>
      </c>
      <c r="E63" s="21" t="s">
        <v>776</v>
      </c>
      <c r="F63" s="20" t="s">
        <v>678</v>
      </c>
      <c r="G63" s="28" t="s">
        <v>2835</v>
      </c>
      <c r="H63" s="20" t="s">
        <v>3381</v>
      </c>
      <c r="I63" s="335">
        <v>17190744.3</v>
      </c>
      <c r="J63" s="335">
        <v>15388231.2</v>
      </c>
      <c r="K63" s="335">
        <v>16207922.4</v>
      </c>
      <c r="L63" s="335">
        <v>16373681.3</v>
      </c>
      <c r="M63" s="335">
        <v>17298804.4</v>
      </c>
      <c r="N63" s="335">
        <v>17786810.1</v>
      </c>
      <c r="O63" s="335">
        <v>15296161.1</v>
      </c>
      <c r="P63" s="335">
        <v>17150243.1</v>
      </c>
      <c r="Q63" s="335">
        <v>18155011.5</v>
      </c>
      <c r="R63" s="335">
        <v>17923609.1</v>
      </c>
      <c r="AM63" s="25"/>
      <c r="AN63" s="25"/>
    </row>
    <row r="64" spans="2:40" ht="15">
      <c r="B64" s="8" t="str">
        <f t="shared" si="12"/>
        <v/>
      </c>
      <c r="D64" s="20" t="s">
        <v>137</v>
      </c>
      <c r="E64" s="21" t="s">
        <v>777</v>
      </c>
      <c r="F64" s="20" t="s">
        <v>679</v>
      </c>
      <c r="G64" s="20" t="s">
        <v>679</v>
      </c>
      <c r="H64" s="20" t="s">
        <v>3382</v>
      </c>
      <c r="I64" s="335">
        <v>5111288</v>
      </c>
      <c r="J64" s="335">
        <v>5514445</v>
      </c>
      <c r="K64" s="335">
        <v>6088862</v>
      </c>
      <c r="L64" s="335">
        <v>6178191.1</v>
      </c>
      <c r="M64" s="335">
        <v>6657284.3</v>
      </c>
      <c r="N64" s="335">
        <v>7151855.3</v>
      </c>
      <c r="O64" s="335">
        <v>7578463.4</v>
      </c>
      <c r="P64" s="335">
        <v>7734525.4</v>
      </c>
      <c r="Q64" s="335">
        <v>8342485.6</v>
      </c>
      <c r="R64" s="335">
        <v>9365464.7</v>
      </c>
      <c r="AM64" s="25"/>
      <c r="AN64" s="25"/>
    </row>
    <row r="65" spans="2:40" ht="15">
      <c r="B65" s="8" t="str">
        <f t="shared" si="12"/>
        <v/>
      </c>
      <c r="D65" s="20" t="s">
        <v>2837</v>
      </c>
      <c r="E65" s="21" t="s">
        <v>778</v>
      </c>
      <c r="F65" s="20" t="s">
        <v>679</v>
      </c>
      <c r="G65" s="20" t="s">
        <v>2836</v>
      </c>
      <c r="H65" s="20" t="s">
        <v>3383</v>
      </c>
      <c r="I65" s="335">
        <v>484824.8</v>
      </c>
      <c r="J65" s="335">
        <v>618010</v>
      </c>
      <c r="K65" s="335">
        <v>663446.5</v>
      </c>
      <c r="L65" s="335">
        <v>602099.1</v>
      </c>
      <c r="M65" s="335">
        <v>682295.5</v>
      </c>
      <c r="N65" s="335">
        <v>727806.1</v>
      </c>
      <c r="O65" s="335">
        <v>790998.9</v>
      </c>
      <c r="P65" s="335">
        <v>788237</v>
      </c>
      <c r="Q65" s="335">
        <v>844297.7</v>
      </c>
      <c r="R65" s="335">
        <v>860130</v>
      </c>
      <c r="AM65" s="25"/>
      <c r="AN65" s="25"/>
    </row>
    <row r="66" spans="2:40" ht="15">
      <c r="B66" s="8" t="str">
        <f t="shared" si="12"/>
        <v/>
      </c>
      <c r="D66" s="28" t="s">
        <v>2837</v>
      </c>
      <c r="E66" s="21" t="s">
        <v>779</v>
      </c>
      <c r="F66" s="20" t="s">
        <v>679</v>
      </c>
      <c r="G66" s="28" t="s">
        <v>2838</v>
      </c>
      <c r="H66" s="20" t="s">
        <v>3384</v>
      </c>
      <c r="I66" s="335">
        <v>484824.8</v>
      </c>
      <c r="J66" s="335">
        <v>618010</v>
      </c>
      <c r="K66" s="335">
        <v>663446.5</v>
      </c>
      <c r="L66" s="335">
        <v>602099.1</v>
      </c>
      <c r="M66" s="335">
        <v>682295.5</v>
      </c>
      <c r="N66" s="335">
        <v>727806.1</v>
      </c>
      <c r="O66" s="335">
        <v>790998.9</v>
      </c>
      <c r="P66" s="335">
        <v>788237</v>
      </c>
      <c r="Q66" s="335">
        <v>844297.7</v>
      </c>
      <c r="R66" s="335">
        <v>860130</v>
      </c>
      <c r="AM66" s="25"/>
      <c r="AN66" s="25"/>
    </row>
    <row r="67" spans="2:40" ht="15">
      <c r="B67" s="8" t="str">
        <f aca="true" t="shared" si="15" ref="B67:B119">_xlfn.IFERROR(IF(B66=$A$2-1,"koniec",B66+1),"")</f>
        <v/>
      </c>
      <c r="D67" s="20" t="s">
        <v>2840</v>
      </c>
      <c r="E67" s="21" t="s">
        <v>780</v>
      </c>
      <c r="F67" s="20" t="s">
        <v>679</v>
      </c>
      <c r="G67" s="20" t="s">
        <v>2839</v>
      </c>
      <c r="H67" s="20" t="s">
        <v>3385</v>
      </c>
      <c r="I67" s="335">
        <v>604394.8</v>
      </c>
      <c r="J67" s="335">
        <v>553795.9</v>
      </c>
      <c r="K67" s="335">
        <v>551128</v>
      </c>
      <c r="L67" s="335">
        <v>579510.5</v>
      </c>
      <c r="M67" s="335">
        <v>627658.8</v>
      </c>
      <c r="N67" s="335">
        <v>604257.2</v>
      </c>
      <c r="O67" s="335">
        <v>651873.1</v>
      </c>
      <c r="P67" s="335">
        <v>560297.3</v>
      </c>
      <c r="Q67" s="335">
        <v>585722.4</v>
      </c>
      <c r="R67" s="335">
        <v>565647.6</v>
      </c>
      <c r="AM67" s="25"/>
      <c r="AN67" s="25"/>
    </row>
    <row r="68" spans="2:40" ht="15">
      <c r="B68" s="8" t="str">
        <f t="shared" si="15"/>
        <v/>
      </c>
      <c r="D68" s="28" t="s">
        <v>2840</v>
      </c>
      <c r="E68" s="21" t="s">
        <v>781</v>
      </c>
      <c r="F68" s="20" t="s">
        <v>679</v>
      </c>
      <c r="G68" s="28" t="s">
        <v>2841</v>
      </c>
      <c r="H68" s="20" t="s">
        <v>3386</v>
      </c>
      <c r="I68" s="335">
        <v>604394.8</v>
      </c>
      <c r="J68" s="335">
        <v>553795.9</v>
      </c>
      <c r="K68" s="335">
        <v>551128</v>
      </c>
      <c r="L68" s="335">
        <v>579510.5</v>
      </c>
      <c r="M68" s="335">
        <v>627658.8</v>
      </c>
      <c r="N68" s="335">
        <v>604257.2</v>
      </c>
      <c r="O68" s="335">
        <v>651873.1</v>
      </c>
      <c r="P68" s="335">
        <v>560297.3</v>
      </c>
      <c r="Q68" s="335">
        <v>585722.4</v>
      </c>
      <c r="R68" s="335">
        <v>565647.6</v>
      </c>
      <c r="AM68" s="25"/>
      <c r="AN68" s="25"/>
    </row>
    <row r="69" spans="2:40" ht="15">
      <c r="B69" s="8" t="str">
        <f t="shared" si="15"/>
        <v/>
      </c>
      <c r="D69" s="20" t="s">
        <v>2843</v>
      </c>
      <c r="E69" s="21" t="s">
        <v>782</v>
      </c>
      <c r="F69" s="20" t="s">
        <v>679</v>
      </c>
      <c r="G69" s="20" t="s">
        <v>2842</v>
      </c>
      <c r="H69" s="20" t="s">
        <v>3387</v>
      </c>
      <c r="I69" s="335">
        <v>4022068.4</v>
      </c>
      <c r="J69" s="335">
        <v>4342639.1</v>
      </c>
      <c r="K69" s="335">
        <v>4874287.5</v>
      </c>
      <c r="L69" s="335">
        <v>4996581.5</v>
      </c>
      <c r="M69" s="335">
        <v>5347330</v>
      </c>
      <c r="N69" s="335">
        <v>5819792</v>
      </c>
      <c r="O69" s="335">
        <v>6135591.4</v>
      </c>
      <c r="P69" s="335">
        <v>6385991.1</v>
      </c>
      <c r="Q69" s="335">
        <v>6912465.5</v>
      </c>
      <c r="R69" s="335">
        <v>7939687.1</v>
      </c>
      <c r="AM69" s="25"/>
      <c r="AN69" s="25"/>
    </row>
    <row r="70" spans="2:40" ht="15">
      <c r="B70" s="8" t="str">
        <f t="shared" si="15"/>
        <v/>
      </c>
      <c r="D70" s="28" t="s">
        <v>2845</v>
      </c>
      <c r="E70" s="21" t="s">
        <v>783</v>
      </c>
      <c r="F70" s="20" t="s">
        <v>679</v>
      </c>
      <c r="G70" s="28" t="s">
        <v>2844</v>
      </c>
      <c r="H70" s="20" t="s">
        <v>3388</v>
      </c>
      <c r="I70" s="335">
        <v>475379</v>
      </c>
      <c r="J70" s="335">
        <v>465740.1</v>
      </c>
      <c r="K70" s="335">
        <v>490237.3</v>
      </c>
      <c r="L70" s="335">
        <v>504968.7</v>
      </c>
      <c r="M70" s="335">
        <v>460483.8</v>
      </c>
      <c r="N70" s="335">
        <v>466509.8</v>
      </c>
      <c r="O70" s="335">
        <v>467755.6</v>
      </c>
      <c r="P70" s="335">
        <v>463158.8</v>
      </c>
      <c r="Q70" s="335">
        <v>456343.3</v>
      </c>
      <c r="R70" s="335">
        <v>462386.8</v>
      </c>
      <c r="AM70" s="25"/>
      <c r="AN70" s="25"/>
    </row>
    <row r="71" spans="2:40" ht="15">
      <c r="B71" s="8" t="str">
        <f t="shared" si="15"/>
        <v/>
      </c>
      <c r="D71" s="28" t="s">
        <v>2847</v>
      </c>
      <c r="E71" s="21" t="s">
        <v>784</v>
      </c>
      <c r="F71" s="20" t="s">
        <v>679</v>
      </c>
      <c r="G71" s="28" t="s">
        <v>2846</v>
      </c>
      <c r="H71" s="20" t="s">
        <v>3389</v>
      </c>
      <c r="I71" s="335">
        <v>1956306.5</v>
      </c>
      <c r="J71" s="335">
        <v>2013387.3</v>
      </c>
      <c r="K71" s="335">
        <v>2374379.3</v>
      </c>
      <c r="L71" s="335">
        <v>2236977.7</v>
      </c>
      <c r="M71" s="335">
        <v>2504875.8</v>
      </c>
      <c r="N71" s="335">
        <v>2772131.5</v>
      </c>
      <c r="O71" s="335">
        <v>2855417.8</v>
      </c>
      <c r="P71" s="335">
        <v>2992069.1</v>
      </c>
      <c r="Q71" s="335">
        <v>3218643.4</v>
      </c>
      <c r="R71" s="335">
        <v>3682658.8</v>
      </c>
      <c r="AM71" s="25"/>
      <c r="AN71" s="25"/>
    </row>
    <row r="72" spans="2:40" ht="15">
      <c r="B72" s="8" t="str">
        <f t="shared" si="15"/>
        <v/>
      </c>
      <c r="D72" s="28" t="s">
        <v>2849</v>
      </c>
      <c r="E72" s="21" t="s">
        <v>785</v>
      </c>
      <c r="F72" s="20" t="s">
        <v>679</v>
      </c>
      <c r="G72" s="28" t="s">
        <v>2848</v>
      </c>
      <c r="H72" s="20" t="s">
        <v>3390</v>
      </c>
      <c r="I72" s="335">
        <v>302497.1</v>
      </c>
      <c r="J72" s="335">
        <v>390578.2</v>
      </c>
      <c r="K72" s="335">
        <v>441341.2</v>
      </c>
      <c r="L72" s="335">
        <v>482440.8</v>
      </c>
      <c r="M72" s="335">
        <v>526346</v>
      </c>
      <c r="N72" s="335">
        <v>571220.6</v>
      </c>
      <c r="O72" s="335">
        <v>582822.2</v>
      </c>
      <c r="P72" s="335">
        <v>587819.2</v>
      </c>
      <c r="Q72" s="335">
        <v>586455.8</v>
      </c>
      <c r="R72" s="335">
        <v>620514.5</v>
      </c>
      <c r="AM72" s="25"/>
      <c r="AN72" s="25"/>
    </row>
    <row r="73" spans="2:40" ht="15">
      <c r="B73" s="8" t="str">
        <f t="shared" si="15"/>
        <v/>
      </c>
      <c r="D73" s="28" t="s">
        <v>2851</v>
      </c>
      <c r="E73" s="21" t="s">
        <v>786</v>
      </c>
      <c r="F73" s="20" t="s">
        <v>679</v>
      </c>
      <c r="G73" s="28" t="s">
        <v>2850</v>
      </c>
      <c r="H73" s="20" t="s">
        <v>3391</v>
      </c>
      <c r="I73" s="335">
        <v>159407.9</v>
      </c>
      <c r="J73" s="335">
        <v>195179.4</v>
      </c>
      <c r="K73" s="335">
        <v>196015.3</v>
      </c>
      <c r="L73" s="335">
        <v>225121.2</v>
      </c>
      <c r="M73" s="335">
        <v>233132.8</v>
      </c>
      <c r="N73" s="335">
        <v>216261.7</v>
      </c>
      <c r="O73" s="335">
        <v>214687</v>
      </c>
      <c r="P73" s="335">
        <v>204591.8</v>
      </c>
      <c r="Q73" s="335">
        <v>226965.3</v>
      </c>
      <c r="R73" s="335">
        <v>229592.8</v>
      </c>
      <c r="AM73" s="25"/>
      <c r="AN73" s="25"/>
    </row>
    <row r="74" spans="2:40" ht="15">
      <c r="B74" s="8" t="str">
        <f t="shared" si="15"/>
        <v/>
      </c>
      <c r="D74" s="28" t="s">
        <v>2853</v>
      </c>
      <c r="E74" s="21" t="s">
        <v>787</v>
      </c>
      <c r="F74" s="20" t="s">
        <v>679</v>
      </c>
      <c r="G74" s="28" t="s">
        <v>2852</v>
      </c>
      <c r="H74" s="20" t="s">
        <v>3392</v>
      </c>
      <c r="I74" s="335">
        <v>451204.8</v>
      </c>
      <c r="J74" s="335">
        <v>532228.4</v>
      </c>
      <c r="K74" s="335">
        <v>563964</v>
      </c>
      <c r="L74" s="335">
        <v>609724</v>
      </c>
      <c r="M74" s="335">
        <v>710163.3</v>
      </c>
      <c r="N74" s="335">
        <v>776961</v>
      </c>
      <c r="O74" s="335">
        <v>828589.7</v>
      </c>
      <c r="P74" s="335">
        <v>864429.7</v>
      </c>
      <c r="Q74" s="335">
        <v>902370</v>
      </c>
      <c r="R74" s="335">
        <v>1013726.4</v>
      </c>
      <c r="AM74" s="25"/>
      <c r="AN74" s="25"/>
    </row>
    <row r="75" spans="2:40" ht="15">
      <c r="B75" s="8" t="str">
        <f t="shared" si="15"/>
        <v/>
      </c>
      <c r="D75" s="28" t="s">
        <v>2855</v>
      </c>
      <c r="E75" s="21" t="s">
        <v>788</v>
      </c>
      <c r="F75" s="20" t="s">
        <v>679</v>
      </c>
      <c r="G75" s="28" t="s">
        <v>2854</v>
      </c>
      <c r="H75" s="20" t="s">
        <v>3393</v>
      </c>
      <c r="I75" s="335">
        <v>634250.2</v>
      </c>
      <c r="J75" s="335">
        <v>698602.6</v>
      </c>
      <c r="K75" s="335">
        <v>756040</v>
      </c>
      <c r="L75" s="335">
        <v>875144.9</v>
      </c>
      <c r="M75" s="335">
        <v>842139</v>
      </c>
      <c r="N75" s="335">
        <v>933574.9</v>
      </c>
      <c r="O75" s="335">
        <v>1071642.8</v>
      </c>
      <c r="P75" s="335">
        <v>1158512.7</v>
      </c>
      <c r="Q75" s="335">
        <v>1395929.8</v>
      </c>
      <c r="R75" s="335">
        <v>1786720.7</v>
      </c>
      <c r="AM75" s="25"/>
      <c r="AN75" s="25"/>
    </row>
    <row r="76" spans="2:40" ht="15">
      <c r="B76" s="8" t="str">
        <f t="shared" si="15"/>
        <v/>
      </c>
      <c r="D76" s="28" t="s">
        <v>2857</v>
      </c>
      <c r="E76" s="21" t="s">
        <v>789</v>
      </c>
      <c r="F76" s="20" t="s">
        <v>679</v>
      </c>
      <c r="G76" s="28" t="s">
        <v>2856</v>
      </c>
      <c r="H76" s="20" t="s">
        <v>3394</v>
      </c>
      <c r="I76" s="335">
        <v>43022.9</v>
      </c>
      <c r="J76" s="335">
        <v>46923.1</v>
      </c>
      <c r="K76" s="335">
        <v>52310.4</v>
      </c>
      <c r="L76" s="335">
        <v>62204.2</v>
      </c>
      <c r="M76" s="335">
        <v>70189.3</v>
      </c>
      <c r="N76" s="335">
        <v>83132.5</v>
      </c>
      <c r="O76" s="335">
        <v>114676.3</v>
      </c>
      <c r="P76" s="335">
        <v>115409.8</v>
      </c>
      <c r="Q76" s="335">
        <v>125757.9</v>
      </c>
      <c r="R76" s="335">
        <v>144087.1</v>
      </c>
      <c r="AM76" s="25"/>
      <c r="AN76" s="25"/>
    </row>
    <row r="77" spans="2:40" ht="15">
      <c r="B77" s="8" t="str">
        <f t="shared" si="15"/>
        <v/>
      </c>
      <c r="D77" s="20" t="s">
        <v>163</v>
      </c>
      <c r="E77" s="21" t="s">
        <v>790</v>
      </c>
      <c r="F77" s="20" t="s">
        <v>680</v>
      </c>
      <c r="G77" s="20" t="s">
        <v>680</v>
      </c>
      <c r="H77" s="20" t="s">
        <v>3395</v>
      </c>
      <c r="I77" s="335">
        <v>4138088</v>
      </c>
      <c r="J77" s="335">
        <v>4284773.6</v>
      </c>
      <c r="K77" s="335">
        <v>4205142.4</v>
      </c>
      <c r="L77" s="335">
        <v>4243782.7</v>
      </c>
      <c r="M77" s="335">
        <v>4357156.3</v>
      </c>
      <c r="N77" s="335">
        <v>4282341.2</v>
      </c>
      <c r="O77" s="335">
        <v>4605752.8</v>
      </c>
      <c r="P77" s="335">
        <v>4759026.5</v>
      </c>
      <c r="Q77" s="335">
        <v>5008783.3</v>
      </c>
      <c r="R77" s="335">
        <v>5288203.7</v>
      </c>
      <c r="AM77" s="25"/>
      <c r="AN77" s="25"/>
    </row>
    <row r="78" spans="2:40" ht="15">
      <c r="B78" s="8" t="str">
        <f t="shared" si="15"/>
        <v/>
      </c>
      <c r="D78" s="20" t="s">
        <v>2859</v>
      </c>
      <c r="E78" s="21" t="s">
        <v>791</v>
      </c>
      <c r="F78" s="20" t="s">
        <v>680</v>
      </c>
      <c r="G78" s="20" t="s">
        <v>2858</v>
      </c>
      <c r="H78" s="20" t="s">
        <v>3396</v>
      </c>
      <c r="I78" s="335">
        <v>3238920.8</v>
      </c>
      <c r="J78" s="335">
        <v>3312667.6</v>
      </c>
      <c r="K78" s="335">
        <v>3333344.7</v>
      </c>
      <c r="L78" s="335">
        <v>3412801.8</v>
      </c>
      <c r="M78" s="335">
        <v>3495810.6</v>
      </c>
      <c r="N78" s="335">
        <v>3474579.6</v>
      </c>
      <c r="O78" s="335">
        <v>3785218.9</v>
      </c>
      <c r="P78" s="335">
        <v>3923203.8</v>
      </c>
      <c r="Q78" s="335">
        <v>4243918.6</v>
      </c>
      <c r="R78" s="335">
        <v>4496851.7</v>
      </c>
      <c r="AM78" s="25"/>
      <c r="AN78" s="25"/>
    </row>
    <row r="79" spans="2:40" ht="15">
      <c r="B79" s="8" t="str">
        <f t="shared" si="15"/>
        <v/>
      </c>
      <c r="D79" s="28" t="s">
        <v>2861</v>
      </c>
      <c r="E79" s="21" t="s">
        <v>792</v>
      </c>
      <c r="F79" s="20" t="s">
        <v>680</v>
      </c>
      <c r="G79" s="28" t="s">
        <v>2860</v>
      </c>
      <c r="H79" s="20" t="s">
        <v>3397</v>
      </c>
      <c r="I79" s="335">
        <v>23514.1</v>
      </c>
      <c r="J79" s="335">
        <v>16230.6</v>
      </c>
      <c r="K79" s="335">
        <v>20156.5</v>
      </c>
      <c r="L79" s="335">
        <v>24181.4</v>
      </c>
      <c r="M79" s="335">
        <v>19978.1</v>
      </c>
      <c r="N79" s="335">
        <v>19093.7</v>
      </c>
      <c r="O79" s="335">
        <v>18947.9</v>
      </c>
      <c r="P79" s="335">
        <v>17947.2</v>
      </c>
      <c r="Q79" s="335">
        <v>21108.5</v>
      </c>
      <c r="R79" s="335">
        <v>22563.8</v>
      </c>
      <c r="AM79" s="25"/>
      <c r="AN79" s="25"/>
    </row>
    <row r="80" spans="2:40" ht="15">
      <c r="B80" s="8" t="str">
        <f t="shared" si="15"/>
        <v/>
      </c>
      <c r="D80" s="28" t="s">
        <v>2863</v>
      </c>
      <c r="E80" s="21" t="s">
        <v>793</v>
      </c>
      <c r="F80" s="20" t="s">
        <v>680</v>
      </c>
      <c r="G80" s="28" t="s">
        <v>2862</v>
      </c>
      <c r="H80" s="20" t="s">
        <v>3398</v>
      </c>
      <c r="I80" s="335">
        <v>436037.5</v>
      </c>
      <c r="J80" s="335">
        <v>474805.8</v>
      </c>
      <c r="K80" s="335">
        <v>529566.2</v>
      </c>
      <c r="L80" s="335">
        <v>641636.5</v>
      </c>
      <c r="M80" s="335">
        <v>643592.3</v>
      </c>
      <c r="N80" s="335">
        <v>665504.5</v>
      </c>
      <c r="O80" s="335">
        <v>657501.7</v>
      </c>
      <c r="P80" s="335">
        <v>738936.9</v>
      </c>
      <c r="Q80" s="335">
        <v>939682.6</v>
      </c>
      <c r="R80" s="335">
        <v>1046576.3</v>
      </c>
      <c r="AM80" s="25"/>
      <c r="AN80" s="25"/>
    </row>
    <row r="81" spans="2:40" ht="15">
      <c r="B81" s="8" t="str">
        <f t="shared" si="15"/>
        <v/>
      </c>
      <c r="D81" s="28" t="s">
        <v>2865</v>
      </c>
      <c r="E81" s="21" t="s">
        <v>794</v>
      </c>
      <c r="F81" s="20" t="s">
        <v>680</v>
      </c>
      <c r="G81" s="28" t="s">
        <v>2864</v>
      </c>
      <c r="H81" s="20" t="s">
        <v>3399</v>
      </c>
      <c r="I81" s="335">
        <v>1565513.3</v>
      </c>
      <c r="J81" s="335">
        <v>1562115.7</v>
      </c>
      <c r="K81" s="335">
        <v>1467220.4</v>
      </c>
      <c r="L81" s="335">
        <v>1448777.9</v>
      </c>
      <c r="M81" s="335">
        <v>1500410.7</v>
      </c>
      <c r="N81" s="335">
        <v>1564478</v>
      </c>
      <c r="O81" s="335">
        <v>1669914.4</v>
      </c>
      <c r="P81" s="335">
        <v>1603560.9</v>
      </c>
      <c r="Q81" s="335">
        <v>1709599.3</v>
      </c>
      <c r="R81" s="335">
        <v>1794353.6</v>
      </c>
      <c r="AM81" s="25"/>
      <c r="AN81" s="25"/>
    </row>
    <row r="82" spans="2:40" ht="15">
      <c r="B82" s="8" t="str">
        <f t="shared" si="15"/>
        <v/>
      </c>
      <c r="D82" s="28" t="s">
        <v>2867</v>
      </c>
      <c r="E82" s="21" t="s">
        <v>795</v>
      </c>
      <c r="F82" s="20" t="s">
        <v>680</v>
      </c>
      <c r="G82" s="28" t="s">
        <v>2866</v>
      </c>
      <c r="H82" s="20" t="s">
        <v>3400</v>
      </c>
      <c r="I82" s="335">
        <v>679494.4</v>
      </c>
      <c r="J82" s="335">
        <v>689661.9</v>
      </c>
      <c r="K82" s="335">
        <v>715693.8</v>
      </c>
      <c r="L82" s="335">
        <v>710549.3</v>
      </c>
      <c r="M82" s="335">
        <v>733058.4</v>
      </c>
      <c r="N82" s="335">
        <v>717474.6</v>
      </c>
      <c r="O82" s="335">
        <v>836587</v>
      </c>
      <c r="P82" s="335">
        <v>919182.5</v>
      </c>
      <c r="Q82" s="335">
        <v>936065.3</v>
      </c>
      <c r="R82" s="335">
        <v>966973.8</v>
      </c>
      <c r="AM82" s="25"/>
      <c r="AN82" s="25"/>
    </row>
    <row r="83" spans="2:40" ht="15">
      <c r="B83" s="8" t="str">
        <f t="shared" si="15"/>
        <v/>
      </c>
      <c r="D83" s="28" t="s">
        <v>2869</v>
      </c>
      <c r="E83" s="21" t="s">
        <v>796</v>
      </c>
      <c r="F83" s="20" t="s">
        <v>680</v>
      </c>
      <c r="G83" s="28" t="s">
        <v>2868</v>
      </c>
      <c r="H83" s="20" t="s">
        <v>3401</v>
      </c>
      <c r="I83" s="335">
        <v>534361.5</v>
      </c>
      <c r="J83" s="335">
        <v>569853.6</v>
      </c>
      <c r="K83" s="335">
        <v>600707.8</v>
      </c>
      <c r="L83" s="335">
        <v>577623.7</v>
      </c>
      <c r="M83" s="335">
        <v>598771.1</v>
      </c>
      <c r="N83" s="335">
        <v>508028.8</v>
      </c>
      <c r="O83" s="335">
        <v>602267.9</v>
      </c>
      <c r="P83" s="335">
        <v>643576.3</v>
      </c>
      <c r="Q83" s="335">
        <v>637462.9</v>
      </c>
      <c r="R83" s="335">
        <v>666384.2</v>
      </c>
      <c r="AM83" s="25"/>
      <c r="AN83" s="25"/>
    </row>
    <row r="84" spans="2:40" ht="15">
      <c r="B84" s="8" t="str">
        <f t="shared" si="15"/>
        <v/>
      </c>
      <c r="D84" s="20" t="s">
        <v>2871</v>
      </c>
      <c r="E84" s="21" t="s">
        <v>797</v>
      </c>
      <c r="F84" s="20" t="s">
        <v>680</v>
      </c>
      <c r="G84" s="20" t="s">
        <v>2870</v>
      </c>
      <c r="H84" s="20" t="s">
        <v>3402</v>
      </c>
      <c r="I84" s="335">
        <v>23541.1</v>
      </c>
      <c r="J84" s="335">
        <v>23282.1</v>
      </c>
      <c r="K84" s="335">
        <v>25358.1</v>
      </c>
      <c r="L84" s="335">
        <v>23430.1</v>
      </c>
      <c r="M84" s="335">
        <v>21287</v>
      </c>
      <c r="N84" s="335" t="s">
        <v>2740</v>
      </c>
      <c r="O84" s="335" t="s">
        <v>2740</v>
      </c>
      <c r="P84" s="335">
        <v>24784.4</v>
      </c>
      <c r="Q84" s="335" t="s">
        <v>2740</v>
      </c>
      <c r="R84" s="335">
        <v>19295.2</v>
      </c>
      <c r="AM84" s="25"/>
      <c r="AN84" s="25"/>
    </row>
    <row r="85" spans="2:40" ht="15">
      <c r="B85" s="8" t="str">
        <f t="shared" si="15"/>
        <v/>
      </c>
      <c r="D85" s="28" t="s">
        <v>2871</v>
      </c>
      <c r="E85" s="21" t="s">
        <v>798</v>
      </c>
      <c r="F85" s="20" t="s">
        <v>680</v>
      </c>
      <c r="G85" s="28" t="s">
        <v>2872</v>
      </c>
      <c r="H85" s="20" t="s">
        <v>3403</v>
      </c>
      <c r="I85" s="335">
        <v>23541.1</v>
      </c>
      <c r="J85" s="335">
        <v>23282.1</v>
      </c>
      <c r="K85" s="335">
        <v>25358.1</v>
      </c>
      <c r="L85" s="335">
        <v>23430.1</v>
      </c>
      <c r="M85" s="335">
        <v>21287</v>
      </c>
      <c r="N85" s="335" t="s">
        <v>2740</v>
      </c>
      <c r="O85" s="335" t="s">
        <v>2740</v>
      </c>
      <c r="P85" s="335">
        <v>24784.4</v>
      </c>
      <c r="Q85" s="335" t="s">
        <v>2740</v>
      </c>
      <c r="R85" s="335">
        <v>19295.2</v>
      </c>
      <c r="AM85" s="25"/>
      <c r="AN85" s="25"/>
    </row>
    <row r="86" spans="2:40" ht="15">
      <c r="B86" s="8" t="str">
        <f t="shared" si="15"/>
        <v/>
      </c>
      <c r="D86" s="20" t="s">
        <v>2874</v>
      </c>
      <c r="E86" s="21" t="s">
        <v>799</v>
      </c>
      <c r="F86" s="20" t="s">
        <v>680</v>
      </c>
      <c r="G86" s="20" t="s">
        <v>2873</v>
      </c>
      <c r="H86" s="20" t="s">
        <v>3404</v>
      </c>
      <c r="I86" s="335">
        <v>875626.1</v>
      </c>
      <c r="J86" s="335">
        <v>948823.9</v>
      </c>
      <c r="K86" s="335">
        <v>846439.6</v>
      </c>
      <c r="L86" s="335">
        <v>807550.8</v>
      </c>
      <c r="M86" s="335">
        <v>840058.7</v>
      </c>
      <c r="N86" s="335" t="s">
        <v>2740</v>
      </c>
      <c r="O86" s="335" t="s">
        <v>2740</v>
      </c>
      <c r="P86" s="335">
        <v>811038.3</v>
      </c>
      <c r="Q86" s="335" t="s">
        <v>2740</v>
      </c>
      <c r="R86" s="335">
        <v>772056.8</v>
      </c>
      <c r="AM86" s="25"/>
      <c r="AN86" s="25"/>
    </row>
    <row r="87" spans="2:40" ht="15">
      <c r="B87" s="8" t="str">
        <f t="shared" si="15"/>
        <v/>
      </c>
      <c r="D87" s="28" t="s">
        <v>178</v>
      </c>
      <c r="E87" s="21" t="s">
        <v>800</v>
      </c>
      <c r="F87" s="20" t="s">
        <v>680</v>
      </c>
      <c r="G87" s="28" t="s">
        <v>2875</v>
      </c>
      <c r="H87" s="20" t="s">
        <v>3405</v>
      </c>
      <c r="I87" s="335">
        <v>721317.1</v>
      </c>
      <c r="J87" s="335">
        <v>807861.7</v>
      </c>
      <c r="K87" s="335">
        <v>705580.6</v>
      </c>
      <c r="L87" s="335">
        <v>665261</v>
      </c>
      <c r="M87" s="335">
        <v>704013.5</v>
      </c>
      <c r="N87" s="335">
        <v>667312.3</v>
      </c>
      <c r="O87" s="335">
        <v>639743.7</v>
      </c>
      <c r="P87" s="335">
        <v>655121.7</v>
      </c>
      <c r="Q87" s="335">
        <v>594393.9</v>
      </c>
      <c r="R87" s="335">
        <v>592759.3</v>
      </c>
      <c r="AM87" s="25"/>
      <c r="AN87" s="25"/>
    </row>
    <row r="88" spans="2:40" ht="15">
      <c r="B88" s="8" t="str">
        <f t="shared" si="15"/>
        <v/>
      </c>
      <c r="D88" s="28" t="s">
        <v>2877</v>
      </c>
      <c r="E88" s="21" t="s">
        <v>801</v>
      </c>
      <c r="F88" s="20" t="s">
        <v>680</v>
      </c>
      <c r="G88" s="28" t="s">
        <v>2876</v>
      </c>
      <c r="H88" s="20" t="s">
        <v>3406</v>
      </c>
      <c r="I88" s="335">
        <v>154309</v>
      </c>
      <c r="J88" s="335">
        <v>140962.2</v>
      </c>
      <c r="K88" s="335">
        <v>140859</v>
      </c>
      <c r="L88" s="335">
        <v>142289.8</v>
      </c>
      <c r="M88" s="335">
        <v>136045.2</v>
      </c>
      <c r="N88" s="335" t="s">
        <v>2740</v>
      </c>
      <c r="O88" s="335" t="s">
        <v>2740</v>
      </c>
      <c r="P88" s="335">
        <v>155916.6</v>
      </c>
      <c r="Q88" s="335" t="s">
        <v>2740</v>
      </c>
      <c r="R88" s="335">
        <v>179297.5</v>
      </c>
      <c r="AM88" s="25"/>
      <c r="AN88" s="25"/>
    </row>
    <row r="89" spans="2:40" ht="15">
      <c r="B89" s="8" t="str">
        <f t="shared" si="15"/>
        <v/>
      </c>
      <c r="D89" s="20" t="s">
        <v>183</v>
      </c>
      <c r="E89" s="21" t="s">
        <v>802</v>
      </c>
      <c r="F89" s="20" t="s">
        <v>667</v>
      </c>
      <c r="G89" s="20" t="s">
        <v>667</v>
      </c>
      <c r="H89" s="20" t="s">
        <v>3407</v>
      </c>
      <c r="I89" s="335">
        <v>2414132.7</v>
      </c>
      <c r="J89" s="335">
        <v>2695986.6</v>
      </c>
      <c r="K89" s="335">
        <v>2742087.6</v>
      </c>
      <c r="L89" s="335">
        <v>3077519.8</v>
      </c>
      <c r="M89" s="335">
        <v>3319993.1</v>
      </c>
      <c r="N89" s="335">
        <v>2385823.8</v>
      </c>
      <c r="O89" s="335">
        <v>2563094.4</v>
      </c>
      <c r="P89" s="335">
        <v>2796829.3</v>
      </c>
      <c r="Q89" s="335">
        <v>2573164.8</v>
      </c>
      <c r="R89" s="335">
        <v>2482043.1</v>
      </c>
      <c r="AM89" s="25"/>
      <c r="AN89" s="25"/>
    </row>
    <row r="90" spans="2:40" ht="15">
      <c r="B90" s="8" t="str">
        <f t="shared" si="15"/>
        <v/>
      </c>
      <c r="D90" s="20" t="s">
        <v>4574</v>
      </c>
      <c r="E90" s="21" t="s">
        <v>803</v>
      </c>
      <c r="F90" s="20" t="s">
        <v>667</v>
      </c>
      <c r="G90" s="20" t="s">
        <v>2878</v>
      </c>
      <c r="H90" s="20" t="s">
        <v>4573</v>
      </c>
      <c r="I90" s="335">
        <v>900198.6</v>
      </c>
      <c r="J90" s="335">
        <v>1141591.7</v>
      </c>
      <c r="K90" s="335">
        <v>1145925.1</v>
      </c>
      <c r="L90" s="335">
        <v>1237885.9</v>
      </c>
      <c r="M90" s="335">
        <v>1297787.2</v>
      </c>
      <c r="N90" s="335">
        <v>512544.5</v>
      </c>
      <c r="O90" s="335">
        <v>568617.6</v>
      </c>
      <c r="P90" s="335">
        <v>595723.9</v>
      </c>
      <c r="Q90" s="335">
        <v>576317.5</v>
      </c>
      <c r="R90" s="335">
        <v>567503.2</v>
      </c>
      <c r="AM90" s="25"/>
      <c r="AN90" s="25"/>
    </row>
    <row r="91" spans="2:40" ht="15">
      <c r="B91" s="8" t="str">
        <f t="shared" si="15"/>
        <v/>
      </c>
      <c r="D91" s="28" t="s">
        <v>2880</v>
      </c>
      <c r="E91" s="21" t="s">
        <v>804</v>
      </c>
      <c r="F91" s="20" t="s">
        <v>667</v>
      </c>
      <c r="G91" s="28" t="s">
        <v>2879</v>
      </c>
      <c r="H91" s="20" t="s">
        <v>3409</v>
      </c>
      <c r="I91" s="335">
        <v>430100.5</v>
      </c>
      <c r="J91" s="335">
        <v>477699.9</v>
      </c>
      <c r="K91" s="335" t="s">
        <v>2740</v>
      </c>
      <c r="L91" s="335" t="s">
        <v>2740</v>
      </c>
      <c r="M91" s="335" t="s">
        <v>2740</v>
      </c>
      <c r="N91" s="335" t="s">
        <v>2740</v>
      </c>
      <c r="O91" s="335">
        <v>369866.8</v>
      </c>
      <c r="P91" s="335">
        <v>407217.7</v>
      </c>
      <c r="Q91" s="335">
        <v>374134</v>
      </c>
      <c r="R91" s="335">
        <v>351351.6</v>
      </c>
      <c r="AM91" s="25"/>
      <c r="AN91" s="25"/>
    </row>
    <row r="92" spans="2:40" ht="15">
      <c r="B92" s="8" t="str">
        <f t="shared" si="15"/>
        <v/>
      </c>
      <c r="D92" s="28" t="s">
        <v>2882</v>
      </c>
      <c r="E92" s="21" t="s">
        <v>805</v>
      </c>
      <c r="F92" s="20" t="s">
        <v>667</v>
      </c>
      <c r="G92" s="28" t="s">
        <v>2881</v>
      </c>
      <c r="H92" s="20" t="s">
        <v>3410</v>
      </c>
      <c r="I92" s="335">
        <v>470098.1</v>
      </c>
      <c r="J92" s="335">
        <v>663891.8</v>
      </c>
      <c r="K92" s="335" t="s">
        <v>2740</v>
      </c>
      <c r="L92" s="335" t="s">
        <v>2740</v>
      </c>
      <c r="M92" s="335" t="s">
        <v>2740</v>
      </c>
      <c r="N92" s="335" t="s">
        <v>2740</v>
      </c>
      <c r="O92" s="335">
        <v>198750.8</v>
      </c>
      <c r="P92" s="335">
        <v>188506.2</v>
      </c>
      <c r="Q92" s="335">
        <v>202183.5</v>
      </c>
      <c r="R92" s="335">
        <v>216151.6</v>
      </c>
      <c r="AM92" s="25"/>
      <c r="AN92" s="25"/>
    </row>
    <row r="93" spans="2:40" ht="15">
      <c r="B93" s="8" t="str">
        <f t="shared" si="15"/>
        <v/>
      </c>
      <c r="D93" s="20" t="s">
        <v>2884</v>
      </c>
      <c r="E93" s="21" t="s">
        <v>806</v>
      </c>
      <c r="F93" s="20" t="s">
        <v>667</v>
      </c>
      <c r="G93" s="20" t="s">
        <v>2883</v>
      </c>
      <c r="H93" s="20" t="s">
        <v>3411</v>
      </c>
      <c r="I93" s="335">
        <v>1513934.1</v>
      </c>
      <c r="J93" s="335">
        <v>1554394.9</v>
      </c>
      <c r="K93" s="335">
        <v>1596162.5</v>
      </c>
      <c r="L93" s="335">
        <v>1839633.9</v>
      </c>
      <c r="M93" s="335">
        <v>2022205.9</v>
      </c>
      <c r="N93" s="335">
        <v>1873279.3</v>
      </c>
      <c r="O93" s="335">
        <v>1994476.8</v>
      </c>
      <c r="P93" s="335">
        <v>2201105.4</v>
      </c>
      <c r="Q93" s="335">
        <v>1996847.3</v>
      </c>
      <c r="R93" s="335">
        <v>1914539.9</v>
      </c>
      <c r="AM93" s="25"/>
      <c r="AN93" s="25"/>
    </row>
    <row r="94" spans="2:40" ht="15">
      <c r="B94" s="8" t="str">
        <f t="shared" si="15"/>
        <v/>
      </c>
      <c r="D94" s="28" t="s">
        <v>2884</v>
      </c>
      <c r="E94" s="21" t="s">
        <v>807</v>
      </c>
      <c r="F94" s="20" t="s">
        <v>667</v>
      </c>
      <c r="G94" s="28" t="s">
        <v>2885</v>
      </c>
      <c r="H94" s="20" t="s">
        <v>3412</v>
      </c>
      <c r="I94" s="335">
        <v>1513934.1</v>
      </c>
      <c r="J94" s="335">
        <v>1554394.9</v>
      </c>
      <c r="K94" s="335">
        <v>1596162.5</v>
      </c>
      <c r="L94" s="335">
        <v>1839633.9</v>
      </c>
      <c r="M94" s="335">
        <v>2022205.9</v>
      </c>
      <c r="N94" s="335">
        <v>1873279.3</v>
      </c>
      <c r="O94" s="335">
        <v>1994476.8</v>
      </c>
      <c r="P94" s="335">
        <v>2201105.4</v>
      </c>
      <c r="Q94" s="335">
        <v>1996847.3</v>
      </c>
      <c r="R94" s="335">
        <v>1914539.9</v>
      </c>
      <c r="AM94" s="25"/>
      <c r="AN94" s="25"/>
    </row>
    <row r="95" spans="2:40" ht="15">
      <c r="B95" s="8" t="str">
        <f t="shared" si="15"/>
        <v/>
      </c>
      <c r="D95" s="20" t="s">
        <v>191</v>
      </c>
      <c r="E95" s="21" t="s">
        <v>808</v>
      </c>
      <c r="F95" s="20" t="s">
        <v>681</v>
      </c>
      <c r="G95" s="20" t="s">
        <v>681</v>
      </c>
      <c r="H95" s="20" t="s">
        <v>3413</v>
      </c>
      <c r="I95" s="335">
        <v>16844743.7</v>
      </c>
      <c r="J95" s="335">
        <v>19184032.5</v>
      </c>
      <c r="K95" s="335">
        <v>19917679.5</v>
      </c>
      <c r="L95" s="335">
        <v>20555766.4</v>
      </c>
      <c r="M95" s="335">
        <v>22327716.5</v>
      </c>
      <c r="N95" s="335">
        <v>23487994.7</v>
      </c>
      <c r="O95" s="335">
        <v>25327733.6</v>
      </c>
      <c r="P95" s="335">
        <v>27046213.5</v>
      </c>
      <c r="Q95" s="335">
        <v>28372842.9</v>
      </c>
      <c r="R95" s="335">
        <v>28331403.5</v>
      </c>
      <c r="AM95" s="25"/>
      <c r="AN95" s="25"/>
    </row>
    <row r="96" spans="2:40" ht="15">
      <c r="B96" s="8" t="str">
        <f t="shared" si="15"/>
        <v/>
      </c>
      <c r="D96" s="20" t="s">
        <v>2887</v>
      </c>
      <c r="E96" s="21" t="s">
        <v>809</v>
      </c>
      <c r="F96" s="20" t="s">
        <v>681</v>
      </c>
      <c r="G96" s="20" t="s">
        <v>2886</v>
      </c>
      <c r="H96" s="20" t="s">
        <v>3414</v>
      </c>
      <c r="I96" s="335">
        <v>2910609.1</v>
      </c>
      <c r="J96" s="335">
        <v>3350492.6</v>
      </c>
      <c r="K96" s="335">
        <v>3338646.1</v>
      </c>
      <c r="L96" s="335">
        <v>3450797.7</v>
      </c>
      <c r="M96" s="335">
        <v>3808240</v>
      </c>
      <c r="N96" s="335">
        <v>3952552.2</v>
      </c>
      <c r="O96" s="335">
        <v>4218261.5</v>
      </c>
      <c r="P96" s="335">
        <v>4535821.5</v>
      </c>
      <c r="Q96" s="335">
        <v>4422806.1</v>
      </c>
      <c r="R96" s="335">
        <v>4580795.8</v>
      </c>
      <c r="AM96" s="25"/>
      <c r="AN96" s="25"/>
    </row>
    <row r="97" spans="2:40" ht="15">
      <c r="B97" s="8" t="str">
        <f t="shared" si="15"/>
        <v/>
      </c>
      <c r="D97" s="28" t="s">
        <v>2887</v>
      </c>
      <c r="E97" s="21" t="s">
        <v>810</v>
      </c>
      <c r="F97" s="20" t="s">
        <v>681</v>
      </c>
      <c r="G97" s="28" t="s">
        <v>2888</v>
      </c>
      <c r="H97" s="20" t="s">
        <v>3415</v>
      </c>
      <c r="I97" s="335">
        <v>2910609.1</v>
      </c>
      <c r="J97" s="335">
        <v>3350492.6</v>
      </c>
      <c r="K97" s="335">
        <v>3338646.1</v>
      </c>
      <c r="L97" s="335">
        <v>3450797.7</v>
      </c>
      <c r="M97" s="335">
        <v>3808240</v>
      </c>
      <c r="N97" s="335">
        <v>3952552.2</v>
      </c>
      <c r="O97" s="335">
        <v>4218261.5</v>
      </c>
      <c r="P97" s="335">
        <v>4535821.5</v>
      </c>
      <c r="Q97" s="335">
        <v>4422806.1</v>
      </c>
      <c r="R97" s="335">
        <v>4580795.8</v>
      </c>
      <c r="AM97" s="25"/>
      <c r="AN97" s="25"/>
    </row>
    <row r="98" spans="2:40" ht="15">
      <c r="B98" s="8" t="str">
        <f t="shared" si="15"/>
        <v/>
      </c>
      <c r="D98" s="20" t="s">
        <v>2890</v>
      </c>
      <c r="E98" s="21" t="s">
        <v>811</v>
      </c>
      <c r="F98" s="20" t="s">
        <v>681</v>
      </c>
      <c r="G98" s="20" t="s">
        <v>2889</v>
      </c>
      <c r="H98" s="20" t="s">
        <v>3416</v>
      </c>
      <c r="I98" s="335">
        <v>13934134.6</v>
      </c>
      <c r="J98" s="335">
        <v>15833539.9</v>
      </c>
      <c r="K98" s="335">
        <v>16579033.4</v>
      </c>
      <c r="L98" s="335">
        <v>17104968.7</v>
      </c>
      <c r="M98" s="335">
        <v>18519476.5</v>
      </c>
      <c r="N98" s="335">
        <v>19535442.5</v>
      </c>
      <c r="O98" s="335">
        <v>21109472.1</v>
      </c>
      <c r="P98" s="335">
        <v>22510392</v>
      </c>
      <c r="Q98" s="335">
        <v>23950036.8</v>
      </c>
      <c r="R98" s="335">
        <v>23750607.7</v>
      </c>
      <c r="AM98" s="25"/>
      <c r="AN98" s="25"/>
    </row>
    <row r="99" spans="2:40" ht="15">
      <c r="B99" s="8" t="str">
        <f t="shared" si="15"/>
        <v/>
      </c>
      <c r="D99" s="28" t="s">
        <v>2892</v>
      </c>
      <c r="E99" s="21" t="s">
        <v>812</v>
      </c>
      <c r="F99" s="20" t="s">
        <v>681</v>
      </c>
      <c r="G99" s="28" t="s">
        <v>2891</v>
      </c>
      <c r="H99" s="20" t="s">
        <v>3417</v>
      </c>
      <c r="I99" s="335">
        <v>5620380.3</v>
      </c>
      <c r="J99" s="335">
        <v>6347641</v>
      </c>
      <c r="K99" s="335">
        <v>6694171.6</v>
      </c>
      <c r="L99" s="335">
        <v>6948495.2</v>
      </c>
      <c r="M99" s="335">
        <v>7212798</v>
      </c>
      <c r="N99" s="335">
        <v>7442331.3</v>
      </c>
      <c r="O99" s="335">
        <v>8085587.9</v>
      </c>
      <c r="P99" s="335">
        <v>8588658.3</v>
      </c>
      <c r="Q99" s="335">
        <v>9124942.7</v>
      </c>
      <c r="R99" s="335">
        <v>8974137.5</v>
      </c>
      <c r="AM99" s="25"/>
      <c r="AN99" s="25"/>
    </row>
    <row r="100" spans="2:40" ht="15">
      <c r="B100" s="8" t="str">
        <f t="shared" si="15"/>
        <v/>
      </c>
      <c r="D100" s="28" t="s">
        <v>2894</v>
      </c>
      <c r="E100" s="21" t="s">
        <v>813</v>
      </c>
      <c r="F100" s="20" t="s">
        <v>681</v>
      </c>
      <c r="G100" s="28" t="s">
        <v>2893</v>
      </c>
      <c r="H100" s="20" t="s">
        <v>3418</v>
      </c>
      <c r="I100" s="335">
        <v>928020.6</v>
      </c>
      <c r="J100" s="335">
        <v>1109618.5</v>
      </c>
      <c r="K100" s="335">
        <v>1243816</v>
      </c>
      <c r="L100" s="335">
        <v>1297148.5</v>
      </c>
      <c r="M100" s="335">
        <v>1461548.5</v>
      </c>
      <c r="N100" s="335">
        <v>1598484.5</v>
      </c>
      <c r="O100" s="335">
        <v>1770344.9</v>
      </c>
      <c r="P100" s="335">
        <v>1903866.6</v>
      </c>
      <c r="Q100" s="335">
        <v>1836450.3</v>
      </c>
      <c r="R100" s="335">
        <v>1724560.5</v>
      </c>
      <c r="AM100" s="25"/>
      <c r="AN100" s="25"/>
    </row>
    <row r="101" spans="2:40" ht="15">
      <c r="B101" s="8" t="str">
        <f t="shared" si="15"/>
        <v/>
      </c>
      <c r="D101" s="28" t="s">
        <v>2896</v>
      </c>
      <c r="E101" s="21" t="s">
        <v>814</v>
      </c>
      <c r="F101" s="20" t="s">
        <v>681</v>
      </c>
      <c r="G101" s="28" t="s">
        <v>2895</v>
      </c>
      <c r="H101" s="20" t="s">
        <v>3419</v>
      </c>
      <c r="I101" s="335">
        <v>4331267.5</v>
      </c>
      <c r="J101" s="335">
        <v>4646141.6</v>
      </c>
      <c r="K101" s="335">
        <v>4688492.7</v>
      </c>
      <c r="L101" s="335">
        <v>4747994.4</v>
      </c>
      <c r="M101" s="335">
        <v>5065597.6</v>
      </c>
      <c r="N101" s="335">
        <v>5492924.5</v>
      </c>
      <c r="O101" s="335">
        <v>5931079</v>
      </c>
      <c r="P101" s="335">
        <v>6419618.6</v>
      </c>
      <c r="Q101" s="335">
        <v>6749126.6</v>
      </c>
      <c r="R101" s="335">
        <v>6920846.4</v>
      </c>
      <c r="AM101" s="25"/>
      <c r="AN101" s="25"/>
    </row>
    <row r="102" spans="2:40" ht="15">
      <c r="B102" s="8" t="str">
        <f t="shared" si="15"/>
        <v/>
      </c>
      <c r="D102" s="28" t="s">
        <v>2898</v>
      </c>
      <c r="E102" s="21" t="s">
        <v>815</v>
      </c>
      <c r="F102" s="20" t="s">
        <v>681</v>
      </c>
      <c r="G102" s="28" t="s">
        <v>2897</v>
      </c>
      <c r="H102" s="20" t="s">
        <v>3420</v>
      </c>
      <c r="I102" s="335">
        <v>1102722.9</v>
      </c>
      <c r="J102" s="335">
        <v>1431128.2</v>
      </c>
      <c r="K102" s="335">
        <v>1456126.9</v>
      </c>
      <c r="L102" s="335">
        <v>1615107.7</v>
      </c>
      <c r="M102" s="335">
        <v>1889966.2</v>
      </c>
      <c r="N102" s="335">
        <v>2013166.9</v>
      </c>
      <c r="O102" s="335">
        <v>2129146.3</v>
      </c>
      <c r="P102" s="335">
        <v>2293910.1</v>
      </c>
      <c r="Q102" s="335">
        <v>2487312.4</v>
      </c>
      <c r="R102" s="335">
        <v>2470992.2</v>
      </c>
      <c r="AM102" s="25"/>
      <c r="AN102" s="25"/>
    </row>
    <row r="103" spans="2:40" ht="15">
      <c r="B103" s="8" t="str">
        <f t="shared" si="15"/>
        <v/>
      </c>
      <c r="D103" s="28" t="s">
        <v>2900</v>
      </c>
      <c r="E103" s="21" t="s">
        <v>816</v>
      </c>
      <c r="F103" s="20" t="s">
        <v>681</v>
      </c>
      <c r="G103" s="28" t="s">
        <v>2899</v>
      </c>
      <c r="H103" s="20" t="s">
        <v>3421</v>
      </c>
      <c r="I103" s="335">
        <v>1951743.3</v>
      </c>
      <c r="J103" s="335">
        <v>2299010.6</v>
      </c>
      <c r="K103" s="335">
        <v>2496426.2</v>
      </c>
      <c r="L103" s="335">
        <v>2496222.9</v>
      </c>
      <c r="M103" s="335">
        <v>2889566.2</v>
      </c>
      <c r="N103" s="335">
        <v>2988535.3</v>
      </c>
      <c r="O103" s="335">
        <v>3193314</v>
      </c>
      <c r="P103" s="335">
        <v>3304338.4</v>
      </c>
      <c r="Q103" s="335">
        <v>3752204.8</v>
      </c>
      <c r="R103" s="335">
        <v>3660071.1</v>
      </c>
      <c r="AM103" s="25"/>
      <c r="AN103" s="25"/>
    </row>
    <row r="104" spans="2:40" ht="15">
      <c r="B104" s="8" t="str">
        <f t="shared" si="15"/>
        <v/>
      </c>
      <c r="D104" s="20" t="s">
        <v>207</v>
      </c>
      <c r="E104" s="21" t="s">
        <v>817</v>
      </c>
      <c r="F104" s="20" t="s">
        <v>682</v>
      </c>
      <c r="G104" s="20" t="s">
        <v>682</v>
      </c>
      <c r="H104" s="20" t="s">
        <v>3422</v>
      </c>
      <c r="I104" s="335">
        <v>22076907.7</v>
      </c>
      <c r="J104" s="335">
        <v>25805246.8</v>
      </c>
      <c r="K104" s="335">
        <v>26855199</v>
      </c>
      <c r="L104" s="335">
        <v>29363060.3</v>
      </c>
      <c r="M104" s="335">
        <v>31229005.8</v>
      </c>
      <c r="N104" s="335">
        <v>34104652.3</v>
      </c>
      <c r="O104" s="335">
        <v>35912966.4</v>
      </c>
      <c r="P104" s="335">
        <v>38710423.8</v>
      </c>
      <c r="Q104" s="335">
        <v>42386084.5</v>
      </c>
      <c r="R104" s="335">
        <v>43533360.8</v>
      </c>
      <c r="AM104" s="25"/>
      <c r="AN104" s="25"/>
    </row>
    <row r="105" spans="2:40" ht="15">
      <c r="B105" s="8" t="str">
        <f t="shared" si="15"/>
        <v/>
      </c>
      <c r="D105" s="20" t="s">
        <v>2902</v>
      </c>
      <c r="E105" s="21" t="s">
        <v>818</v>
      </c>
      <c r="F105" s="20" t="s">
        <v>682</v>
      </c>
      <c r="G105" s="20" t="s">
        <v>2901</v>
      </c>
      <c r="H105" s="20" t="s">
        <v>3423</v>
      </c>
      <c r="I105" s="335">
        <v>8894013</v>
      </c>
      <c r="J105" s="335">
        <v>10269617.1</v>
      </c>
      <c r="K105" s="335">
        <v>10028785.3</v>
      </c>
      <c r="L105" s="335">
        <v>10998988.1</v>
      </c>
      <c r="M105" s="335">
        <v>11195844.9</v>
      </c>
      <c r="N105" s="335">
        <v>11811525.2</v>
      </c>
      <c r="O105" s="335">
        <v>12452105</v>
      </c>
      <c r="P105" s="335">
        <v>13036017.6</v>
      </c>
      <c r="Q105" s="335">
        <v>14886835.7</v>
      </c>
      <c r="R105" s="335">
        <v>14083197.5</v>
      </c>
      <c r="AM105" s="25"/>
      <c r="AN105" s="25"/>
    </row>
    <row r="106" spans="2:40" ht="15">
      <c r="B106" s="8" t="str">
        <f t="shared" si="15"/>
        <v/>
      </c>
      <c r="D106" s="28" t="s">
        <v>2904</v>
      </c>
      <c r="E106" s="21" t="s">
        <v>819</v>
      </c>
      <c r="F106" s="20" t="s">
        <v>682</v>
      </c>
      <c r="G106" s="28" t="s">
        <v>2903</v>
      </c>
      <c r="H106" s="20" t="s">
        <v>3424</v>
      </c>
      <c r="I106" s="336" t="s">
        <v>2740</v>
      </c>
      <c r="J106" s="335" t="s">
        <v>2740</v>
      </c>
      <c r="K106" s="335" t="s">
        <v>2740</v>
      </c>
      <c r="L106" s="335" t="s">
        <v>2740</v>
      </c>
      <c r="M106" s="335" t="s">
        <v>2740</v>
      </c>
      <c r="N106" s="335" t="s">
        <v>2740</v>
      </c>
      <c r="O106" s="335">
        <v>72854</v>
      </c>
      <c r="P106" s="335" t="s">
        <v>2740</v>
      </c>
      <c r="Q106" s="335" t="s">
        <v>2740</v>
      </c>
      <c r="R106" s="335" t="s">
        <v>2740</v>
      </c>
      <c r="AM106" s="25"/>
      <c r="AN106" s="25"/>
    </row>
    <row r="107" spans="2:40" ht="15">
      <c r="B107" s="8" t="str">
        <f t="shared" si="15"/>
        <v/>
      </c>
      <c r="D107" s="28" t="s">
        <v>210</v>
      </c>
      <c r="E107" s="21" t="s">
        <v>820</v>
      </c>
      <c r="F107" s="20" t="s">
        <v>682</v>
      </c>
      <c r="G107" s="28" t="s">
        <v>2905</v>
      </c>
      <c r="H107" s="20" t="s">
        <v>3425</v>
      </c>
      <c r="I107" s="336" t="s">
        <v>2740</v>
      </c>
      <c r="J107" s="335" t="s">
        <v>2740</v>
      </c>
      <c r="K107" s="335" t="s">
        <v>2740</v>
      </c>
      <c r="L107" s="335" t="s">
        <v>2740</v>
      </c>
      <c r="M107" s="335" t="s">
        <v>2740</v>
      </c>
      <c r="N107" s="335" t="s">
        <v>2740</v>
      </c>
      <c r="O107" s="335">
        <v>12379251</v>
      </c>
      <c r="P107" s="335" t="s">
        <v>2740</v>
      </c>
      <c r="Q107" s="335" t="s">
        <v>2740</v>
      </c>
      <c r="R107" s="335" t="s">
        <v>2740</v>
      </c>
      <c r="AM107" s="25"/>
      <c r="AN107" s="25"/>
    </row>
    <row r="108" spans="2:40" ht="15">
      <c r="B108" s="8" t="str">
        <f t="shared" si="15"/>
        <v/>
      </c>
      <c r="D108" s="20" t="s">
        <v>2907</v>
      </c>
      <c r="E108" s="21" t="s">
        <v>821</v>
      </c>
      <c r="F108" s="20" t="s">
        <v>682</v>
      </c>
      <c r="G108" s="20" t="s">
        <v>2906</v>
      </c>
      <c r="H108" s="20" t="s">
        <v>3426</v>
      </c>
      <c r="I108" s="335">
        <v>13182894.7</v>
      </c>
      <c r="J108" s="335">
        <v>15535629.7</v>
      </c>
      <c r="K108" s="335">
        <v>16826413.7</v>
      </c>
      <c r="L108" s="335">
        <v>18364072.2</v>
      </c>
      <c r="M108" s="335">
        <v>20033160.9</v>
      </c>
      <c r="N108" s="335">
        <v>22293127.1</v>
      </c>
      <c r="O108" s="335">
        <v>23460861.4</v>
      </c>
      <c r="P108" s="335">
        <v>25674406.2</v>
      </c>
      <c r="Q108" s="335">
        <v>27499248.8</v>
      </c>
      <c r="R108" s="335">
        <v>29450163.3</v>
      </c>
      <c r="AM108" s="25"/>
      <c r="AN108" s="25"/>
    </row>
    <row r="109" spans="2:40" ht="15">
      <c r="B109" s="8" t="str">
        <f t="shared" si="15"/>
        <v/>
      </c>
      <c r="D109" s="28" t="s">
        <v>2909</v>
      </c>
      <c r="E109" s="21" t="s">
        <v>822</v>
      </c>
      <c r="F109" s="20" t="s">
        <v>682</v>
      </c>
      <c r="G109" s="28" t="s">
        <v>2908</v>
      </c>
      <c r="H109" s="20" t="s">
        <v>3427</v>
      </c>
      <c r="I109" s="335">
        <v>7507331.7</v>
      </c>
      <c r="J109" s="335">
        <v>9081684</v>
      </c>
      <c r="K109" s="335">
        <v>9657636.7</v>
      </c>
      <c r="L109" s="335">
        <v>10740238.3</v>
      </c>
      <c r="M109" s="335">
        <v>11795619.2</v>
      </c>
      <c r="N109" s="335">
        <v>13285289.2</v>
      </c>
      <c r="O109" s="335">
        <v>14130496.9</v>
      </c>
      <c r="P109" s="335">
        <v>16023541.5</v>
      </c>
      <c r="Q109" s="335">
        <v>16987407.1</v>
      </c>
      <c r="R109" s="335">
        <v>18170790.3</v>
      </c>
      <c r="AM109" s="25"/>
      <c r="AN109" s="25"/>
    </row>
    <row r="110" spans="2:40" ht="15">
      <c r="B110" s="8" t="str">
        <f t="shared" si="15"/>
        <v/>
      </c>
      <c r="D110" s="28" t="s">
        <v>2911</v>
      </c>
      <c r="E110" s="21" t="s">
        <v>823</v>
      </c>
      <c r="F110" s="20" t="s">
        <v>682</v>
      </c>
      <c r="G110" s="28" t="s">
        <v>2910</v>
      </c>
      <c r="H110" s="20" t="s">
        <v>3428</v>
      </c>
      <c r="I110" s="335">
        <v>3463137.4</v>
      </c>
      <c r="J110" s="335">
        <v>3967833.5</v>
      </c>
      <c r="K110" s="335">
        <v>4505170.3</v>
      </c>
      <c r="L110" s="335">
        <v>5027207.5</v>
      </c>
      <c r="M110" s="335">
        <v>5447468.2</v>
      </c>
      <c r="N110" s="335">
        <v>5945192.4</v>
      </c>
      <c r="O110" s="335">
        <v>6121032.2</v>
      </c>
      <c r="P110" s="335">
        <v>6366313.1</v>
      </c>
      <c r="Q110" s="335">
        <v>6945588.9</v>
      </c>
      <c r="R110" s="335">
        <v>7655870.1</v>
      </c>
      <c r="AM110" s="25"/>
      <c r="AN110" s="25"/>
    </row>
    <row r="111" spans="2:18" ht="15">
      <c r="B111" s="8" t="str">
        <f t="shared" si="15"/>
        <v/>
      </c>
      <c r="D111" s="28" t="s">
        <v>2913</v>
      </c>
      <c r="E111" s="21" t="s">
        <v>824</v>
      </c>
      <c r="F111" s="20" t="s">
        <v>682</v>
      </c>
      <c r="G111" s="28" t="s">
        <v>2912</v>
      </c>
      <c r="H111" s="20" t="s">
        <v>3429</v>
      </c>
      <c r="I111" s="335">
        <v>950272.4</v>
      </c>
      <c r="J111" s="335">
        <v>1010593</v>
      </c>
      <c r="K111" s="335">
        <v>975563.9</v>
      </c>
      <c r="L111" s="335">
        <v>1101872.3</v>
      </c>
      <c r="M111" s="335">
        <v>1157740.7</v>
      </c>
      <c r="N111" s="335">
        <v>1224673.6</v>
      </c>
      <c r="O111" s="335">
        <v>1366037.9</v>
      </c>
      <c r="P111" s="335">
        <v>1305296.3</v>
      </c>
      <c r="Q111" s="335">
        <v>1443474.8</v>
      </c>
      <c r="R111" s="335">
        <v>1525571.9</v>
      </c>
    </row>
    <row r="112" spans="2:18" ht="15">
      <c r="B112" s="8" t="str">
        <f t="shared" si="15"/>
        <v/>
      </c>
      <c r="D112" s="28" t="s">
        <v>2915</v>
      </c>
      <c r="E112" s="21" t="s">
        <v>825</v>
      </c>
      <c r="F112" s="20" t="s">
        <v>682</v>
      </c>
      <c r="G112" s="28" t="s">
        <v>2914</v>
      </c>
      <c r="H112" s="20" t="s">
        <v>3430</v>
      </c>
      <c r="I112" s="335">
        <v>33488.6</v>
      </c>
      <c r="J112" s="335">
        <v>29739.8</v>
      </c>
      <c r="K112" s="335">
        <v>57056.3</v>
      </c>
      <c r="L112" s="335">
        <v>58124.3</v>
      </c>
      <c r="M112" s="335">
        <v>67289</v>
      </c>
      <c r="N112" s="335">
        <v>70019</v>
      </c>
      <c r="O112" s="335">
        <v>63431.6</v>
      </c>
      <c r="P112" s="335">
        <v>65156.6</v>
      </c>
      <c r="Q112" s="335">
        <v>75453.9</v>
      </c>
      <c r="R112" s="335">
        <v>68726</v>
      </c>
    </row>
    <row r="113" spans="2:18" ht="15">
      <c r="B113" s="8" t="str">
        <f t="shared" si="15"/>
        <v/>
      </c>
      <c r="D113" s="28" t="s">
        <v>2917</v>
      </c>
      <c r="E113" s="21" t="s">
        <v>826</v>
      </c>
      <c r="F113" s="20" t="s">
        <v>682</v>
      </c>
      <c r="G113" s="28" t="s">
        <v>2916</v>
      </c>
      <c r="H113" s="20" t="s">
        <v>3431</v>
      </c>
      <c r="I113" s="335">
        <v>1228664.6</v>
      </c>
      <c r="J113" s="335">
        <v>1445779.4</v>
      </c>
      <c r="K113" s="335">
        <v>1630986.5</v>
      </c>
      <c r="L113" s="335">
        <v>1436629.8</v>
      </c>
      <c r="M113" s="335">
        <v>1565043.8</v>
      </c>
      <c r="N113" s="335">
        <v>1767952.9</v>
      </c>
      <c r="O113" s="335">
        <v>1779862.8</v>
      </c>
      <c r="P113" s="335">
        <v>1914098.7</v>
      </c>
      <c r="Q113" s="335">
        <v>2047324.1</v>
      </c>
      <c r="R113" s="335">
        <v>2029205</v>
      </c>
    </row>
    <row r="114" spans="2:18" ht="15">
      <c r="B114" s="8" t="str">
        <f t="shared" si="15"/>
        <v/>
      </c>
      <c r="D114" s="20" t="s">
        <v>2918</v>
      </c>
      <c r="E114" s="21" t="s">
        <v>827</v>
      </c>
      <c r="F114" s="20" t="s">
        <v>683</v>
      </c>
      <c r="G114" s="20" t="s">
        <v>683</v>
      </c>
      <c r="H114" s="20" t="s">
        <v>3432</v>
      </c>
      <c r="I114" s="335">
        <v>6569303.2</v>
      </c>
      <c r="J114" s="335">
        <v>6189912.6</v>
      </c>
      <c r="K114" s="335">
        <v>6089494.3</v>
      </c>
      <c r="L114" s="335">
        <v>6343758.3</v>
      </c>
      <c r="M114" s="335">
        <v>6674480</v>
      </c>
      <c r="N114" s="335">
        <v>6799536</v>
      </c>
      <c r="O114" s="335">
        <v>6931963.4</v>
      </c>
      <c r="P114" s="335">
        <v>7803807.5</v>
      </c>
      <c r="Q114" s="335">
        <v>7791634</v>
      </c>
      <c r="R114" s="335">
        <v>7834035.8</v>
      </c>
    </row>
    <row r="115" spans="2:18" ht="15">
      <c r="B115" s="8" t="str">
        <f t="shared" si="15"/>
        <v/>
      </c>
      <c r="D115" s="20" t="s">
        <v>2920</v>
      </c>
      <c r="E115" s="21" t="s">
        <v>828</v>
      </c>
      <c r="F115" s="20" t="s">
        <v>683</v>
      </c>
      <c r="G115" s="20" t="s">
        <v>2919</v>
      </c>
      <c r="H115" s="20" t="s">
        <v>3433</v>
      </c>
      <c r="I115" s="335">
        <v>6569303.2</v>
      </c>
      <c r="J115" s="335">
        <v>6189912.6</v>
      </c>
      <c r="K115" s="335">
        <v>6089494.3</v>
      </c>
      <c r="L115" s="335">
        <v>6343758.3</v>
      </c>
      <c r="M115" s="335">
        <v>6674480</v>
      </c>
      <c r="N115" s="335">
        <v>6799536</v>
      </c>
      <c r="O115" s="335">
        <v>6931963.4</v>
      </c>
      <c r="P115" s="335">
        <v>7803807.5</v>
      </c>
      <c r="Q115" s="335">
        <v>7791634</v>
      </c>
      <c r="R115" s="335">
        <v>7834035.8</v>
      </c>
    </row>
    <row r="116" spans="2:18" ht="15">
      <c r="B116" s="8" t="str">
        <f t="shared" si="15"/>
        <v/>
      </c>
      <c r="D116" s="28" t="s">
        <v>2922</v>
      </c>
      <c r="E116" s="21" t="s">
        <v>829</v>
      </c>
      <c r="F116" s="20" t="s">
        <v>683</v>
      </c>
      <c r="G116" s="28" t="s">
        <v>2921</v>
      </c>
      <c r="H116" s="20" t="s">
        <v>3434</v>
      </c>
      <c r="I116" s="336" t="s">
        <v>2740</v>
      </c>
      <c r="J116" s="335">
        <v>804054.3</v>
      </c>
      <c r="K116" s="335">
        <v>812221.4</v>
      </c>
      <c r="L116" s="335">
        <v>850524.1</v>
      </c>
      <c r="M116" s="335">
        <v>709189</v>
      </c>
      <c r="N116" s="335">
        <v>651090.7</v>
      </c>
      <c r="O116" s="335">
        <v>701272.1</v>
      </c>
      <c r="P116" s="335">
        <v>572425.7</v>
      </c>
      <c r="Q116" s="335">
        <v>495128.6</v>
      </c>
      <c r="R116" s="335">
        <v>383386.2</v>
      </c>
    </row>
    <row r="117" spans="2:18" ht="15">
      <c r="B117" s="8" t="str">
        <f t="shared" si="15"/>
        <v/>
      </c>
      <c r="D117" s="28" t="s">
        <v>2924</v>
      </c>
      <c r="E117" s="21" t="s">
        <v>830</v>
      </c>
      <c r="F117" s="20" t="s">
        <v>683</v>
      </c>
      <c r="G117" s="28" t="s">
        <v>2923</v>
      </c>
      <c r="H117" s="20" t="s">
        <v>3435</v>
      </c>
      <c r="I117" s="335">
        <v>5723275.3</v>
      </c>
      <c r="J117" s="335">
        <v>5334246</v>
      </c>
      <c r="K117" s="335">
        <v>5226383.1</v>
      </c>
      <c r="L117" s="335">
        <v>5430551.2</v>
      </c>
      <c r="M117" s="335">
        <v>5903920.3</v>
      </c>
      <c r="N117" s="335">
        <v>6063866</v>
      </c>
      <c r="O117" s="335">
        <v>6122760.2</v>
      </c>
      <c r="P117" s="335">
        <v>7111901.8</v>
      </c>
      <c r="Q117" s="335">
        <v>7165575.3</v>
      </c>
      <c r="R117" s="335">
        <v>7330494.8</v>
      </c>
    </row>
    <row r="118" spans="2:18" ht="15">
      <c r="B118" s="8" t="str">
        <f t="shared" si="15"/>
        <v/>
      </c>
      <c r="D118" s="28" t="s">
        <v>2926</v>
      </c>
      <c r="E118" s="21" t="s">
        <v>831</v>
      </c>
      <c r="F118" s="20" t="s">
        <v>683</v>
      </c>
      <c r="G118" s="28" t="s">
        <v>2925</v>
      </c>
      <c r="H118" s="20" t="s">
        <v>3436</v>
      </c>
      <c r="I118" s="336" t="s">
        <v>2740</v>
      </c>
      <c r="J118" s="335">
        <v>51612.3</v>
      </c>
      <c r="K118" s="335">
        <v>50889.8</v>
      </c>
      <c r="L118" s="335">
        <v>62683</v>
      </c>
      <c r="M118" s="335">
        <v>61370.7</v>
      </c>
      <c r="N118" s="335">
        <v>84579.3</v>
      </c>
      <c r="O118" s="335">
        <v>107931.1</v>
      </c>
      <c r="P118" s="335">
        <v>119480</v>
      </c>
      <c r="Q118" s="335">
        <v>130930.1</v>
      </c>
      <c r="R118" s="335">
        <v>120154.8</v>
      </c>
    </row>
    <row r="119" spans="2:18" ht="15">
      <c r="B119" s="8" t="str">
        <f t="shared" si="15"/>
        <v/>
      </c>
      <c r="D119" s="20" t="s">
        <v>220</v>
      </c>
      <c r="E119" s="21" t="s">
        <v>832</v>
      </c>
      <c r="F119" s="20" t="s">
        <v>684</v>
      </c>
      <c r="G119" s="20" t="s">
        <v>684</v>
      </c>
      <c r="H119" s="20" t="s">
        <v>3437</v>
      </c>
      <c r="I119" s="335">
        <v>74139971.1</v>
      </c>
      <c r="J119" s="335">
        <v>95646064.6</v>
      </c>
      <c r="K119" s="335">
        <v>102373749.2</v>
      </c>
      <c r="L119" s="335">
        <v>101825919.7</v>
      </c>
      <c r="M119" s="335">
        <v>96015133.7</v>
      </c>
      <c r="N119" s="335">
        <v>81794663.8</v>
      </c>
      <c r="O119" s="335">
        <v>76045830.2</v>
      </c>
      <c r="P119" s="335">
        <v>88078960.2</v>
      </c>
      <c r="Q119" s="335">
        <v>98919003</v>
      </c>
      <c r="R119" s="335">
        <v>99666030.5</v>
      </c>
    </row>
    <row r="120" spans="4:18" ht="15">
      <c r="D120" s="20" t="s">
        <v>2928</v>
      </c>
      <c r="E120" s="21" t="s">
        <v>833</v>
      </c>
      <c r="F120" s="20" t="s">
        <v>684</v>
      </c>
      <c r="G120" s="20" t="s">
        <v>2927</v>
      </c>
      <c r="H120" s="20" t="s">
        <v>3438</v>
      </c>
      <c r="I120" s="335">
        <v>8011042.5</v>
      </c>
      <c r="J120" s="335">
        <v>9558297</v>
      </c>
      <c r="K120" s="335">
        <v>7352697.3</v>
      </c>
      <c r="L120" s="335">
        <v>6247252.5</v>
      </c>
      <c r="M120" s="335">
        <v>5471835.2</v>
      </c>
      <c r="N120" s="335">
        <v>5429729.2</v>
      </c>
      <c r="O120" s="335">
        <v>4958482.5</v>
      </c>
      <c r="P120" s="335">
        <v>7801421.7</v>
      </c>
      <c r="Q120" s="335">
        <v>8597504.8</v>
      </c>
      <c r="R120" s="335">
        <v>8175634.7</v>
      </c>
    </row>
    <row r="121" spans="4:18" ht="15">
      <c r="D121" s="28" t="s">
        <v>2928</v>
      </c>
      <c r="E121" s="21" t="s">
        <v>834</v>
      </c>
      <c r="F121" s="20" t="s">
        <v>684</v>
      </c>
      <c r="G121" s="28" t="s">
        <v>2929</v>
      </c>
      <c r="H121" s="20" t="s">
        <v>3439</v>
      </c>
      <c r="I121" s="335">
        <v>8011042.5</v>
      </c>
      <c r="J121" s="335">
        <v>9558297</v>
      </c>
      <c r="K121" s="335">
        <v>7352697.3</v>
      </c>
      <c r="L121" s="335">
        <v>6247252.5</v>
      </c>
      <c r="M121" s="335">
        <v>5471835.2</v>
      </c>
      <c r="N121" s="335">
        <v>5429729.2</v>
      </c>
      <c r="O121" s="335">
        <v>4958482.5</v>
      </c>
      <c r="P121" s="335">
        <v>7801421.7</v>
      </c>
      <c r="Q121" s="335">
        <v>8597504.8</v>
      </c>
      <c r="R121" s="335">
        <v>8175634.7</v>
      </c>
    </row>
    <row r="122" spans="4:18" ht="15">
      <c r="D122" s="20" t="s">
        <v>2931</v>
      </c>
      <c r="E122" s="21" t="s">
        <v>835</v>
      </c>
      <c r="F122" s="20" t="s">
        <v>684</v>
      </c>
      <c r="G122" s="20" t="s">
        <v>2930</v>
      </c>
      <c r="H122" s="20" t="s">
        <v>3440</v>
      </c>
      <c r="I122" s="335">
        <v>66128928.6</v>
      </c>
      <c r="J122" s="335">
        <v>86087767.6</v>
      </c>
      <c r="K122" s="335">
        <v>95021051.9</v>
      </c>
      <c r="L122" s="335">
        <v>95578667.2</v>
      </c>
      <c r="M122" s="335">
        <v>90543298.5</v>
      </c>
      <c r="N122" s="335">
        <v>76364934.6</v>
      </c>
      <c r="O122" s="335">
        <v>71087347.7</v>
      </c>
      <c r="P122" s="335">
        <v>80277538.5</v>
      </c>
      <c r="Q122" s="335">
        <v>90321498.2</v>
      </c>
      <c r="R122" s="335">
        <v>91490395.8</v>
      </c>
    </row>
    <row r="123" spans="4:18" ht="15">
      <c r="D123" s="28" t="s">
        <v>2931</v>
      </c>
      <c r="E123" s="21" t="s">
        <v>836</v>
      </c>
      <c r="F123" s="20" t="s">
        <v>684</v>
      </c>
      <c r="G123" s="28" t="s">
        <v>2932</v>
      </c>
      <c r="H123" s="20" t="s">
        <v>3441</v>
      </c>
      <c r="I123" s="335">
        <v>66128928.6</v>
      </c>
      <c r="J123" s="335">
        <v>86087767.6</v>
      </c>
      <c r="K123" s="335">
        <v>95021051.9</v>
      </c>
      <c r="L123" s="335">
        <v>95578667.2</v>
      </c>
      <c r="M123" s="335">
        <v>90543298.5</v>
      </c>
      <c r="N123" s="335">
        <v>76364934.6</v>
      </c>
      <c r="O123" s="335">
        <v>71087347.7</v>
      </c>
      <c r="P123" s="335">
        <v>80277538.5</v>
      </c>
      <c r="Q123" s="335">
        <v>90321498.2</v>
      </c>
      <c r="R123" s="335">
        <v>91490395.8</v>
      </c>
    </row>
    <row r="124" spans="4:18" ht="15">
      <c r="D124" s="20" t="s">
        <v>232</v>
      </c>
      <c r="E124" s="21" t="s">
        <v>837</v>
      </c>
      <c r="F124" s="20" t="s">
        <v>662</v>
      </c>
      <c r="G124" s="20" t="s">
        <v>662</v>
      </c>
      <c r="H124" s="20" t="s">
        <v>3442</v>
      </c>
      <c r="I124" s="335">
        <v>43997362.7</v>
      </c>
      <c r="J124" s="335">
        <v>56432043.4</v>
      </c>
      <c r="K124" s="335">
        <v>60913892.5</v>
      </c>
      <c r="L124" s="335">
        <v>61219403.5</v>
      </c>
      <c r="M124" s="335">
        <v>59023634.7</v>
      </c>
      <c r="N124" s="335">
        <v>60753386.9</v>
      </c>
      <c r="O124" s="335">
        <v>61122833.2</v>
      </c>
      <c r="P124" s="335">
        <v>65853552.6</v>
      </c>
      <c r="Q124" s="335">
        <v>67388819.8</v>
      </c>
      <c r="R124" s="335">
        <v>69949700.1</v>
      </c>
    </row>
    <row r="125" spans="4:18" ht="15">
      <c r="D125" s="20" t="s">
        <v>2934</v>
      </c>
      <c r="E125" s="21" t="s">
        <v>838</v>
      </c>
      <c r="F125" s="20" t="s">
        <v>662</v>
      </c>
      <c r="G125" s="20" t="s">
        <v>2933</v>
      </c>
      <c r="H125" s="20" t="s">
        <v>3443</v>
      </c>
      <c r="I125" s="335">
        <v>27798606.5</v>
      </c>
      <c r="J125" s="335">
        <v>37034302.5</v>
      </c>
      <c r="K125" s="335">
        <v>39592123.8</v>
      </c>
      <c r="L125" s="335">
        <v>39239988.5</v>
      </c>
      <c r="M125" s="335">
        <v>37274773.4</v>
      </c>
      <c r="N125" s="335">
        <v>37918407.9</v>
      </c>
      <c r="O125" s="335">
        <v>35105048</v>
      </c>
      <c r="P125" s="335">
        <v>38806042.3</v>
      </c>
      <c r="Q125" s="335">
        <v>40206681.8</v>
      </c>
      <c r="R125" s="335">
        <v>41328086.3</v>
      </c>
    </row>
    <row r="126" spans="4:18" ht="15">
      <c r="D126" s="28" t="s">
        <v>2936</v>
      </c>
      <c r="E126" s="21" t="s">
        <v>839</v>
      </c>
      <c r="F126" s="20" t="s">
        <v>662</v>
      </c>
      <c r="G126" s="28" t="s">
        <v>2935</v>
      </c>
      <c r="H126" s="20" t="s">
        <v>3444</v>
      </c>
      <c r="I126" s="335">
        <v>1262005.5</v>
      </c>
      <c r="J126" s="335">
        <v>1434649.3</v>
      </c>
      <c r="K126" s="335">
        <v>1418949.1</v>
      </c>
      <c r="L126" s="335">
        <v>1536885.8</v>
      </c>
      <c r="M126" s="335">
        <v>1481992.8</v>
      </c>
      <c r="N126" s="335">
        <v>1536546.2</v>
      </c>
      <c r="O126" s="335">
        <v>1493960.7</v>
      </c>
      <c r="P126" s="335">
        <v>1658796.1</v>
      </c>
      <c r="Q126" s="335">
        <v>1702215.1</v>
      </c>
      <c r="R126" s="335">
        <v>1872713.6</v>
      </c>
    </row>
    <row r="127" spans="4:18" ht="15">
      <c r="D127" s="28" t="s">
        <v>2938</v>
      </c>
      <c r="E127" s="21" t="s">
        <v>840</v>
      </c>
      <c r="F127" s="20" t="s">
        <v>662</v>
      </c>
      <c r="G127" s="28" t="s">
        <v>2937</v>
      </c>
      <c r="H127" s="20" t="s">
        <v>3445</v>
      </c>
      <c r="I127" s="336" t="s">
        <v>2740</v>
      </c>
      <c r="J127" s="335" t="s">
        <v>2740</v>
      </c>
      <c r="K127" s="335" t="s">
        <v>2740</v>
      </c>
      <c r="L127" s="335" t="s">
        <v>2740</v>
      </c>
      <c r="M127" s="335" t="s">
        <v>2740</v>
      </c>
      <c r="N127" s="335" t="s">
        <v>2740</v>
      </c>
      <c r="O127" s="335">
        <v>840964.7</v>
      </c>
      <c r="P127" s="335">
        <v>1013020.1</v>
      </c>
      <c r="Q127" s="335">
        <v>977166.7</v>
      </c>
      <c r="R127" s="335">
        <v>975366</v>
      </c>
    </row>
    <row r="128" spans="4:18" ht="15">
      <c r="D128" s="28" t="s">
        <v>2940</v>
      </c>
      <c r="E128" s="21" t="s">
        <v>841</v>
      </c>
      <c r="F128" s="20" t="s">
        <v>662</v>
      </c>
      <c r="G128" s="28" t="s">
        <v>2939</v>
      </c>
      <c r="H128" s="20" t="s">
        <v>3446</v>
      </c>
      <c r="I128" s="335">
        <v>1876569.5</v>
      </c>
      <c r="J128" s="335">
        <v>2317161.3</v>
      </c>
      <c r="K128" s="335">
        <v>2327715.9</v>
      </c>
      <c r="L128" s="335">
        <v>2439546.1</v>
      </c>
      <c r="M128" s="335">
        <v>2358196.1</v>
      </c>
      <c r="N128" s="335">
        <v>2427476.1</v>
      </c>
      <c r="O128" s="335">
        <v>2543270.8</v>
      </c>
      <c r="P128" s="335">
        <v>3023554.5</v>
      </c>
      <c r="Q128" s="335">
        <v>3593731.3</v>
      </c>
      <c r="R128" s="335">
        <v>3598034.4</v>
      </c>
    </row>
    <row r="129" spans="4:18" ht="15">
      <c r="D129" s="28" t="s">
        <v>2942</v>
      </c>
      <c r="E129" s="21" t="s">
        <v>842</v>
      </c>
      <c r="F129" s="20" t="s">
        <v>662</v>
      </c>
      <c r="G129" s="28" t="s">
        <v>2941</v>
      </c>
      <c r="H129" s="20" t="s">
        <v>3447</v>
      </c>
      <c r="I129" s="335">
        <v>8873660.7</v>
      </c>
      <c r="J129" s="335">
        <v>12548138.8</v>
      </c>
      <c r="K129" s="335">
        <v>13667902.7</v>
      </c>
      <c r="L129" s="335">
        <v>13446187.7</v>
      </c>
      <c r="M129" s="335">
        <v>12125364.4</v>
      </c>
      <c r="N129" s="335">
        <v>11195460.8</v>
      </c>
      <c r="O129" s="335">
        <v>10304948.4</v>
      </c>
      <c r="P129" s="335">
        <v>11183679.7</v>
      </c>
      <c r="Q129" s="335">
        <v>11636375.3</v>
      </c>
      <c r="R129" s="335">
        <v>11929022.1</v>
      </c>
    </row>
    <row r="130" spans="4:18" ht="15">
      <c r="D130" s="28" t="s">
        <v>2944</v>
      </c>
      <c r="E130" s="21" t="s">
        <v>843</v>
      </c>
      <c r="F130" s="20" t="s">
        <v>662</v>
      </c>
      <c r="G130" s="28" t="s">
        <v>2943</v>
      </c>
      <c r="H130" s="20" t="s">
        <v>3448</v>
      </c>
      <c r="I130" s="335">
        <v>5791734</v>
      </c>
      <c r="J130" s="335">
        <v>8162810.2</v>
      </c>
      <c r="K130" s="335">
        <v>9086272.3</v>
      </c>
      <c r="L130" s="335">
        <v>8324731.7</v>
      </c>
      <c r="M130" s="335">
        <v>8257355.3</v>
      </c>
      <c r="N130" s="335">
        <v>9027334.9</v>
      </c>
      <c r="O130" s="335">
        <v>7667409.8</v>
      </c>
      <c r="P130" s="335">
        <v>7788990.6</v>
      </c>
      <c r="Q130" s="335">
        <v>7631142.9</v>
      </c>
      <c r="R130" s="335">
        <v>8190734</v>
      </c>
    </row>
    <row r="131" spans="4:18" ht="15">
      <c r="D131" s="28" t="s">
        <v>2946</v>
      </c>
      <c r="E131" s="21" t="s">
        <v>844</v>
      </c>
      <c r="F131" s="20" t="s">
        <v>662</v>
      </c>
      <c r="G131" s="28" t="s">
        <v>2945</v>
      </c>
      <c r="H131" s="20" t="s">
        <v>3449</v>
      </c>
      <c r="I131" s="335">
        <v>8266623.6</v>
      </c>
      <c r="J131" s="335">
        <v>10052628.8</v>
      </c>
      <c r="K131" s="335">
        <v>10645296.5</v>
      </c>
      <c r="L131" s="335">
        <v>11394519.1</v>
      </c>
      <c r="M131" s="335">
        <v>11185236</v>
      </c>
      <c r="N131" s="335">
        <v>11986302.7</v>
      </c>
      <c r="O131" s="335">
        <v>11061794</v>
      </c>
      <c r="P131" s="335">
        <v>12475261.4</v>
      </c>
      <c r="Q131" s="335">
        <v>13049213.1</v>
      </c>
      <c r="R131" s="335">
        <v>13221152.3</v>
      </c>
    </row>
    <row r="132" spans="4:18" ht="15">
      <c r="D132" s="28" t="s">
        <v>2948</v>
      </c>
      <c r="E132" s="21" t="s">
        <v>845</v>
      </c>
      <c r="F132" s="20" t="s">
        <v>662</v>
      </c>
      <c r="G132" s="28" t="s">
        <v>2947</v>
      </c>
      <c r="H132" s="20" t="s">
        <v>3450</v>
      </c>
      <c r="I132" s="336" t="s">
        <v>2740</v>
      </c>
      <c r="J132" s="335" t="s">
        <v>2740</v>
      </c>
      <c r="K132" s="335" t="s">
        <v>2740</v>
      </c>
      <c r="L132" s="335" t="s">
        <v>2740</v>
      </c>
      <c r="M132" s="335" t="s">
        <v>2740</v>
      </c>
      <c r="N132" s="335" t="s">
        <v>2740</v>
      </c>
      <c r="O132" s="335">
        <v>1192699.6</v>
      </c>
      <c r="P132" s="335">
        <v>1662739.9</v>
      </c>
      <c r="Q132" s="335">
        <v>1616837.4</v>
      </c>
      <c r="R132" s="335">
        <v>1541063.9</v>
      </c>
    </row>
    <row r="133" spans="4:18" ht="15">
      <c r="D133" s="20" t="s">
        <v>2950</v>
      </c>
      <c r="E133" s="21" t="s">
        <v>846</v>
      </c>
      <c r="F133" s="20" t="s">
        <v>662</v>
      </c>
      <c r="G133" s="20" t="s">
        <v>2949</v>
      </c>
      <c r="H133" s="20" t="s">
        <v>3451</v>
      </c>
      <c r="I133" s="335">
        <v>365824.1</v>
      </c>
      <c r="J133" s="335">
        <v>374023.6</v>
      </c>
      <c r="K133" s="335">
        <v>375757.1</v>
      </c>
      <c r="L133" s="335">
        <v>443238</v>
      </c>
      <c r="M133" s="335">
        <v>475784.3</v>
      </c>
      <c r="N133" s="335">
        <v>499013.4</v>
      </c>
      <c r="O133" s="335">
        <v>571245.9</v>
      </c>
      <c r="P133" s="335">
        <v>707957.1</v>
      </c>
      <c r="Q133" s="335">
        <v>766173.5</v>
      </c>
      <c r="R133" s="335">
        <v>789237.9</v>
      </c>
    </row>
    <row r="134" spans="4:18" ht="15">
      <c r="D134" s="28" t="s">
        <v>2950</v>
      </c>
      <c r="E134" s="21" t="s">
        <v>847</v>
      </c>
      <c r="F134" s="20" t="s">
        <v>662</v>
      </c>
      <c r="G134" s="28" t="s">
        <v>2951</v>
      </c>
      <c r="H134" s="20" t="s">
        <v>3452</v>
      </c>
      <c r="I134" s="335">
        <v>365824.1</v>
      </c>
      <c r="J134" s="335">
        <v>374023.6</v>
      </c>
      <c r="K134" s="335">
        <v>375757.1</v>
      </c>
      <c r="L134" s="335">
        <v>443238</v>
      </c>
      <c r="M134" s="335">
        <v>475784.3</v>
      </c>
      <c r="N134" s="335">
        <v>499013.4</v>
      </c>
      <c r="O134" s="335">
        <v>571245.9</v>
      </c>
      <c r="P134" s="335">
        <v>707957.1</v>
      </c>
      <c r="Q134" s="335">
        <v>766173.5</v>
      </c>
      <c r="R134" s="335">
        <v>789237.9</v>
      </c>
    </row>
    <row r="135" spans="4:18" ht="15">
      <c r="D135" s="20" t="s">
        <v>319</v>
      </c>
      <c r="E135" s="21" t="s">
        <v>848</v>
      </c>
      <c r="F135" s="20" t="s">
        <v>662</v>
      </c>
      <c r="G135" s="20" t="s">
        <v>2952</v>
      </c>
      <c r="H135" s="20" t="s">
        <v>3453</v>
      </c>
      <c r="I135" s="335">
        <v>3756929.7</v>
      </c>
      <c r="J135" s="335">
        <v>4543589.2</v>
      </c>
      <c r="K135" s="335">
        <v>4926167</v>
      </c>
      <c r="L135" s="335">
        <v>5002376.4</v>
      </c>
      <c r="M135" s="335">
        <v>5310203.7</v>
      </c>
      <c r="N135" s="335">
        <v>5005198.1</v>
      </c>
      <c r="O135" s="335">
        <v>5320920.6</v>
      </c>
      <c r="P135" s="335">
        <v>5371509.9</v>
      </c>
      <c r="Q135" s="335">
        <v>5832338.5</v>
      </c>
      <c r="R135" s="335">
        <v>6120422.6</v>
      </c>
    </row>
    <row r="136" spans="4:18" ht="15">
      <c r="D136" s="28" t="s">
        <v>319</v>
      </c>
      <c r="E136" s="21" t="s">
        <v>849</v>
      </c>
      <c r="F136" s="20" t="s">
        <v>662</v>
      </c>
      <c r="G136" s="28" t="s">
        <v>2953</v>
      </c>
      <c r="H136" s="20" t="s">
        <v>3454</v>
      </c>
      <c r="I136" s="335">
        <v>3756929.7</v>
      </c>
      <c r="J136" s="335">
        <v>4543589.2</v>
      </c>
      <c r="K136" s="335">
        <v>4926167</v>
      </c>
      <c r="L136" s="335">
        <v>5002376.4</v>
      </c>
      <c r="M136" s="335">
        <v>5310203.7</v>
      </c>
      <c r="N136" s="335">
        <v>5005198.1</v>
      </c>
      <c r="O136" s="335">
        <v>5320920.6</v>
      </c>
      <c r="P136" s="335">
        <v>5371509.9</v>
      </c>
      <c r="Q136" s="335">
        <v>5832338.5</v>
      </c>
      <c r="R136" s="335">
        <v>6120422.6</v>
      </c>
    </row>
    <row r="137" spans="4:18" ht="15">
      <c r="D137" s="20" t="s">
        <v>2955</v>
      </c>
      <c r="E137" s="21" t="s">
        <v>850</v>
      </c>
      <c r="F137" s="20" t="s">
        <v>662</v>
      </c>
      <c r="G137" s="20" t="s">
        <v>2954</v>
      </c>
      <c r="H137" s="20" t="s">
        <v>3455</v>
      </c>
      <c r="I137" s="335">
        <v>8501245.9</v>
      </c>
      <c r="J137" s="335">
        <v>10153790.5</v>
      </c>
      <c r="K137" s="335">
        <v>10817191</v>
      </c>
      <c r="L137" s="335">
        <v>11323961.8</v>
      </c>
      <c r="M137" s="335">
        <v>10985273.4</v>
      </c>
      <c r="N137" s="335">
        <v>11630433.7</v>
      </c>
      <c r="O137" s="335">
        <v>12465451.4</v>
      </c>
      <c r="P137" s="335">
        <v>12888359.6</v>
      </c>
      <c r="Q137" s="335">
        <v>12732810</v>
      </c>
      <c r="R137" s="335">
        <v>13046957.4</v>
      </c>
    </row>
    <row r="138" spans="4:18" ht="15">
      <c r="D138" s="28" t="s">
        <v>2957</v>
      </c>
      <c r="E138" s="21" t="s">
        <v>851</v>
      </c>
      <c r="F138" s="20" t="s">
        <v>662</v>
      </c>
      <c r="G138" s="28" t="s">
        <v>2956</v>
      </c>
      <c r="H138" s="20" t="s">
        <v>3456</v>
      </c>
      <c r="I138" s="335">
        <v>3436280.7</v>
      </c>
      <c r="J138" s="335">
        <v>3934271.2</v>
      </c>
      <c r="K138" s="335">
        <v>4483745.5</v>
      </c>
      <c r="L138" s="335">
        <v>4709094</v>
      </c>
      <c r="M138" s="335">
        <v>4948083.2</v>
      </c>
      <c r="N138" s="335">
        <v>5239871.3</v>
      </c>
      <c r="O138" s="335">
        <v>5289873.5</v>
      </c>
      <c r="P138" s="335">
        <v>5270727</v>
      </c>
      <c r="Q138" s="335">
        <v>5327277.2</v>
      </c>
      <c r="R138" s="335">
        <v>5516226</v>
      </c>
    </row>
    <row r="139" spans="4:18" ht="15">
      <c r="D139" s="28" t="s">
        <v>2959</v>
      </c>
      <c r="E139" s="21" t="s">
        <v>852</v>
      </c>
      <c r="F139" s="20" t="s">
        <v>662</v>
      </c>
      <c r="G139" s="28" t="s">
        <v>2958</v>
      </c>
      <c r="H139" s="20" t="s">
        <v>3457</v>
      </c>
      <c r="I139" s="335">
        <v>5064965.2</v>
      </c>
      <c r="J139" s="335">
        <v>6219519.3</v>
      </c>
      <c r="K139" s="335">
        <v>6333445.5</v>
      </c>
      <c r="L139" s="335">
        <v>6614867.8</v>
      </c>
      <c r="M139" s="335">
        <v>6037190.2</v>
      </c>
      <c r="N139" s="335">
        <v>6390562.4</v>
      </c>
      <c r="O139" s="335">
        <v>7175577.9</v>
      </c>
      <c r="P139" s="335">
        <v>7617632.6</v>
      </c>
      <c r="Q139" s="335">
        <v>7405532.8</v>
      </c>
      <c r="R139" s="335">
        <v>7530731.4</v>
      </c>
    </row>
    <row r="140" spans="4:18" ht="15">
      <c r="D140" s="20" t="s">
        <v>2961</v>
      </c>
      <c r="E140" s="21" t="s">
        <v>853</v>
      </c>
      <c r="F140" s="20" t="s">
        <v>662</v>
      </c>
      <c r="G140" s="20" t="s">
        <v>2960</v>
      </c>
      <c r="H140" s="20" t="s">
        <v>3458</v>
      </c>
      <c r="I140" s="335">
        <v>3234267.9</v>
      </c>
      <c r="J140" s="335">
        <v>3926683</v>
      </c>
      <c r="K140" s="335">
        <v>4790102.1</v>
      </c>
      <c r="L140" s="335">
        <v>4815885.8</v>
      </c>
      <c r="M140" s="335">
        <v>4599559</v>
      </c>
      <c r="N140" s="335">
        <v>5339695.9</v>
      </c>
      <c r="O140" s="335">
        <v>7260756.4</v>
      </c>
      <c r="P140" s="335">
        <v>7619853.3</v>
      </c>
      <c r="Q140" s="335">
        <v>7386872.1</v>
      </c>
      <c r="R140" s="335">
        <v>8248314.1</v>
      </c>
    </row>
    <row r="141" spans="4:18" ht="15">
      <c r="D141" s="28" t="s">
        <v>2963</v>
      </c>
      <c r="E141" s="21" t="s">
        <v>854</v>
      </c>
      <c r="F141" s="20" t="s">
        <v>662</v>
      </c>
      <c r="G141" s="28" t="s">
        <v>2962</v>
      </c>
      <c r="H141" s="20" t="s">
        <v>3459</v>
      </c>
      <c r="I141" s="335">
        <v>346450</v>
      </c>
      <c r="J141" s="335">
        <v>331067.9</v>
      </c>
      <c r="K141" s="335">
        <v>319366.7</v>
      </c>
      <c r="L141" s="335">
        <v>337419.3</v>
      </c>
      <c r="M141" s="335">
        <v>334664.3</v>
      </c>
      <c r="N141" s="335">
        <v>429862.3</v>
      </c>
      <c r="O141" s="335">
        <v>448663.2</v>
      </c>
      <c r="P141" s="335">
        <v>550136.4</v>
      </c>
      <c r="Q141" s="335">
        <v>578743.6</v>
      </c>
      <c r="R141" s="335">
        <v>548968.8</v>
      </c>
    </row>
    <row r="142" spans="4:18" ht="15">
      <c r="D142" s="28" t="s">
        <v>2965</v>
      </c>
      <c r="E142" s="21" t="s">
        <v>855</v>
      </c>
      <c r="F142" s="20" t="s">
        <v>662</v>
      </c>
      <c r="G142" s="28" t="s">
        <v>2964</v>
      </c>
      <c r="H142" s="20" t="s">
        <v>3460</v>
      </c>
      <c r="I142" s="335">
        <v>371162.7</v>
      </c>
      <c r="J142" s="335">
        <v>365181.4</v>
      </c>
      <c r="K142" s="335">
        <v>342136.4</v>
      </c>
      <c r="L142" s="335">
        <v>355319.3</v>
      </c>
      <c r="M142" s="335">
        <v>415247.6</v>
      </c>
      <c r="N142" s="335">
        <v>585000.1</v>
      </c>
      <c r="O142" s="335">
        <v>625489</v>
      </c>
      <c r="P142" s="335">
        <v>689202.5</v>
      </c>
      <c r="Q142" s="335">
        <v>772338.2</v>
      </c>
      <c r="R142" s="335">
        <v>915047.7</v>
      </c>
    </row>
    <row r="143" spans="4:18" ht="15">
      <c r="D143" s="28" t="s">
        <v>2967</v>
      </c>
      <c r="E143" s="21" t="s">
        <v>856</v>
      </c>
      <c r="F143" s="20" t="s">
        <v>662</v>
      </c>
      <c r="G143" s="28" t="s">
        <v>2966</v>
      </c>
      <c r="H143" s="20" t="s">
        <v>3461</v>
      </c>
      <c r="I143" s="335">
        <v>97261.9</v>
      </c>
      <c r="J143" s="335">
        <v>77812.6</v>
      </c>
      <c r="K143" s="335">
        <v>79523.2</v>
      </c>
      <c r="L143" s="335">
        <v>75309.8</v>
      </c>
      <c r="M143" s="335">
        <v>120326.3</v>
      </c>
      <c r="N143" s="335">
        <v>163444.9</v>
      </c>
      <c r="O143" s="335">
        <v>173462.4</v>
      </c>
      <c r="P143" s="335">
        <v>192675.8</v>
      </c>
      <c r="Q143" s="335">
        <v>208507.5</v>
      </c>
      <c r="R143" s="335">
        <v>207431.6</v>
      </c>
    </row>
    <row r="144" spans="4:18" ht="15">
      <c r="D144" s="28" t="s">
        <v>2969</v>
      </c>
      <c r="E144" s="21" t="s">
        <v>857</v>
      </c>
      <c r="F144" s="20" t="s">
        <v>662</v>
      </c>
      <c r="G144" s="28" t="s">
        <v>2968</v>
      </c>
      <c r="H144" s="20" t="s">
        <v>3462</v>
      </c>
      <c r="I144" s="335">
        <v>2419393.3</v>
      </c>
      <c r="J144" s="335">
        <v>3152621.1</v>
      </c>
      <c r="K144" s="335">
        <v>4049075.8</v>
      </c>
      <c r="L144" s="335">
        <v>4047837.4</v>
      </c>
      <c r="M144" s="335">
        <v>3729320.8</v>
      </c>
      <c r="N144" s="335">
        <v>4161388.6</v>
      </c>
      <c r="O144" s="335">
        <v>6013141.8</v>
      </c>
      <c r="P144" s="335">
        <v>6187838.6</v>
      </c>
      <c r="Q144" s="335">
        <v>5827282.8</v>
      </c>
      <c r="R144" s="335">
        <v>6576866</v>
      </c>
    </row>
    <row r="145" spans="4:18" ht="15">
      <c r="D145" s="20" t="s">
        <v>343</v>
      </c>
      <c r="E145" s="21" t="s">
        <v>858</v>
      </c>
      <c r="F145" s="20" t="s">
        <v>662</v>
      </c>
      <c r="G145" s="20" t="s">
        <v>2970</v>
      </c>
      <c r="H145" s="20" t="s">
        <v>3463</v>
      </c>
      <c r="I145" s="335">
        <v>340488.6</v>
      </c>
      <c r="J145" s="335">
        <v>399654.6</v>
      </c>
      <c r="K145" s="335">
        <v>412551.5</v>
      </c>
      <c r="L145" s="335">
        <v>393953</v>
      </c>
      <c r="M145" s="335">
        <v>378040.9</v>
      </c>
      <c r="N145" s="335">
        <v>360637.9</v>
      </c>
      <c r="O145" s="335">
        <v>399410.9</v>
      </c>
      <c r="P145" s="335">
        <v>459830.4</v>
      </c>
      <c r="Q145" s="335">
        <v>463943.9</v>
      </c>
      <c r="R145" s="335">
        <v>416681.8</v>
      </c>
    </row>
    <row r="146" spans="4:18" ht="15">
      <c r="D146" s="28" t="s">
        <v>343</v>
      </c>
      <c r="E146" s="21" t="s">
        <v>859</v>
      </c>
      <c r="F146" s="20" t="s">
        <v>662</v>
      </c>
      <c r="G146" s="28" t="s">
        <v>2971</v>
      </c>
      <c r="H146" s="20" t="s">
        <v>3464</v>
      </c>
      <c r="I146" s="335">
        <v>340488.6</v>
      </c>
      <c r="J146" s="335">
        <v>399654.6</v>
      </c>
      <c r="K146" s="335">
        <v>412551.5</v>
      </c>
      <c r="L146" s="335">
        <v>393953</v>
      </c>
      <c r="M146" s="335">
        <v>378040.9</v>
      </c>
      <c r="N146" s="335">
        <v>360637.9</v>
      </c>
      <c r="O146" s="335">
        <v>399410.9</v>
      </c>
      <c r="P146" s="335">
        <v>459830.4</v>
      </c>
      <c r="Q146" s="335">
        <v>463943.9</v>
      </c>
      <c r="R146" s="335">
        <v>416681.8</v>
      </c>
    </row>
    <row r="147" spans="4:18" ht="15">
      <c r="D147" s="20" t="s">
        <v>346</v>
      </c>
      <c r="E147" s="21" t="s">
        <v>860</v>
      </c>
      <c r="F147" s="20" t="s">
        <v>666</v>
      </c>
      <c r="G147" s="20" t="s">
        <v>666</v>
      </c>
      <c r="H147" s="20" t="s">
        <v>3465</v>
      </c>
      <c r="I147" s="335">
        <v>9743572.1</v>
      </c>
      <c r="J147" s="335">
        <v>10821993.1</v>
      </c>
      <c r="K147" s="335">
        <v>10894237.9</v>
      </c>
      <c r="L147" s="335">
        <v>11515451.6</v>
      </c>
      <c r="M147" s="335">
        <v>11794427.5</v>
      </c>
      <c r="N147" s="335">
        <v>12400492.5</v>
      </c>
      <c r="O147" s="335">
        <v>12620573.8</v>
      </c>
      <c r="P147" s="335">
        <v>13504729.6</v>
      </c>
      <c r="Q147" s="335">
        <v>10492241.9</v>
      </c>
      <c r="R147" s="335">
        <v>10865526.9</v>
      </c>
    </row>
    <row r="148" spans="4:18" ht="15">
      <c r="D148" s="20" t="s">
        <v>2973</v>
      </c>
      <c r="E148" s="21" t="s">
        <v>861</v>
      </c>
      <c r="F148" s="20" t="s">
        <v>666</v>
      </c>
      <c r="G148" s="20" t="s">
        <v>2972</v>
      </c>
      <c r="H148" s="20" t="s">
        <v>3466</v>
      </c>
      <c r="I148" s="335">
        <v>113923.3</v>
      </c>
      <c r="J148" s="335">
        <v>154313</v>
      </c>
      <c r="K148" s="335">
        <v>158647.5</v>
      </c>
      <c r="L148" s="335">
        <v>146389.8</v>
      </c>
      <c r="M148" s="335">
        <v>165206.6</v>
      </c>
      <c r="N148" s="335">
        <v>286731.1</v>
      </c>
      <c r="O148" s="335">
        <v>322070.3</v>
      </c>
      <c r="P148" s="335">
        <v>352703.8</v>
      </c>
      <c r="Q148" s="335">
        <v>417863.9</v>
      </c>
      <c r="R148" s="335">
        <v>456539.5</v>
      </c>
    </row>
    <row r="149" spans="4:18" ht="15">
      <c r="D149" s="28" t="s">
        <v>2973</v>
      </c>
      <c r="E149" s="21" t="s">
        <v>862</v>
      </c>
      <c r="F149" s="20" t="s">
        <v>666</v>
      </c>
      <c r="G149" s="28" t="s">
        <v>2974</v>
      </c>
      <c r="H149" s="20" t="s">
        <v>3467</v>
      </c>
      <c r="I149" s="335">
        <v>113923.3</v>
      </c>
      <c r="J149" s="335">
        <v>154313</v>
      </c>
      <c r="K149" s="335">
        <v>158647.5</v>
      </c>
      <c r="L149" s="335">
        <v>146389.8</v>
      </c>
      <c r="M149" s="335">
        <v>165206.6</v>
      </c>
      <c r="N149" s="335">
        <v>286731.1</v>
      </c>
      <c r="O149" s="335">
        <v>322070.3</v>
      </c>
      <c r="P149" s="335">
        <v>352703.8</v>
      </c>
      <c r="Q149" s="335">
        <v>417863.9</v>
      </c>
      <c r="R149" s="335">
        <v>456539.5</v>
      </c>
    </row>
    <row r="150" spans="4:18" ht="15">
      <c r="D150" s="20" t="s">
        <v>2976</v>
      </c>
      <c r="E150" s="21" t="s">
        <v>863</v>
      </c>
      <c r="F150" s="20" t="s">
        <v>666</v>
      </c>
      <c r="G150" s="20" t="s">
        <v>2975</v>
      </c>
      <c r="H150" s="20" t="s">
        <v>3468</v>
      </c>
      <c r="I150" s="335">
        <v>9629648.8</v>
      </c>
      <c r="J150" s="335">
        <v>10667680.1</v>
      </c>
      <c r="K150" s="335">
        <v>10735590.4</v>
      </c>
      <c r="L150" s="335">
        <v>11369061.8</v>
      </c>
      <c r="M150" s="335">
        <v>11629220.9</v>
      </c>
      <c r="N150" s="335">
        <v>12113761.4</v>
      </c>
      <c r="O150" s="335">
        <v>12298503.5</v>
      </c>
      <c r="P150" s="335">
        <v>13152025.8</v>
      </c>
      <c r="Q150" s="335">
        <v>10074378</v>
      </c>
      <c r="R150" s="335">
        <v>10408987.4</v>
      </c>
    </row>
    <row r="151" spans="4:18" ht="15">
      <c r="D151" s="28" t="s">
        <v>2976</v>
      </c>
      <c r="E151" s="21" t="s">
        <v>864</v>
      </c>
      <c r="F151" s="20" t="s">
        <v>666</v>
      </c>
      <c r="G151" s="28" t="s">
        <v>2977</v>
      </c>
      <c r="H151" s="20" t="s">
        <v>3469</v>
      </c>
      <c r="I151" s="335">
        <v>9629648.8</v>
      </c>
      <c r="J151" s="335">
        <v>10667680.1</v>
      </c>
      <c r="K151" s="335">
        <v>10735590.4</v>
      </c>
      <c r="L151" s="335">
        <v>11369061.8</v>
      </c>
      <c r="M151" s="335">
        <v>11629220.9</v>
      </c>
      <c r="N151" s="335">
        <v>12113761.4</v>
      </c>
      <c r="O151" s="335">
        <v>12298503.5</v>
      </c>
      <c r="P151" s="335">
        <v>13152025.8</v>
      </c>
      <c r="Q151" s="335">
        <v>10074378</v>
      </c>
      <c r="R151" s="335">
        <v>10408987.4</v>
      </c>
    </row>
    <row r="152" spans="4:18" ht="15">
      <c r="D152" s="20" t="s">
        <v>350</v>
      </c>
      <c r="E152" s="21" t="s">
        <v>865</v>
      </c>
      <c r="F152" s="20" t="s">
        <v>668</v>
      </c>
      <c r="G152" s="20" t="s">
        <v>668</v>
      </c>
      <c r="H152" s="20" t="s">
        <v>3470</v>
      </c>
      <c r="I152" s="335">
        <v>44051550.1</v>
      </c>
      <c r="J152" s="335">
        <v>52333474.3</v>
      </c>
      <c r="K152" s="335">
        <v>54108561.1</v>
      </c>
      <c r="L152" s="335">
        <v>57859861.6</v>
      </c>
      <c r="M152" s="335">
        <v>61050764.1</v>
      </c>
      <c r="N152" s="335">
        <v>64751968.7</v>
      </c>
      <c r="O152" s="335">
        <v>70409584</v>
      </c>
      <c r="P152" s="335">
        <v>78322347.9</v>
      </c>
      <c r="Q152" s="335">
        <v>83087968.1</v>
      </c>
      <c r="R152" s="335">
        <v>84766184.9</v>
      </c>
    </row>
    <row r="153" spans="4:18" ht="15">
      <c r="D153" s="20" t="s">
        <v>351</v>
      </c>
      <c r="E153" s="21" t="s">
        <v>866</v>
      </c>
      <c r="F153" s="20" t="s">
        <v>668</v>
      </c>
      <c r="G153" s="20" t="s">
        <v>2978</v>
      </c>
      <c r="H153" s="20" t="s">
        <v>3471</v>
      </c>
      <c r="I153" s="335">
        <v>10616141.9</v>
      </c>
      <c r="J153" s="335">
        <v>13861513.3</v>
      </c>
      <c r="K153" s="335">
        <v>14490026.8</v>
      </c>
      <c r="L153" s="335">
        <v>14946232.5</v>
      </c>
      <c r="M153" s="335">
        <v>15146152.7</v>
      </c>
      <c r="N153" s="335">
        <v>15476727.8</v>
      </c>
      <c r="O153" s="335">
        <v>16074178.2</v>
      </c>
      <c r="P153" s="335">
        <v>18376723.7</v>
      </c>
      <c r="Q153" s="335">
        <v>18505219.9</v>
      </c>
      <c r="R153" s="335">
        <v>18318187.8</v>
      </c>
    </row>
    <row r="154" spans="4:18" ht="15">
      <c r="D154" s="28" t="s">
        <v>2980</v>
      </c>
      <c r="E154" s="21" t="s">
        <v>867</v>
      </c>
      <c r="F154" s="20" t="s">
        <v>668</v>
      </c>
      <c r="G154" s="28" t="s">
        <v>2979</v>
      </c>
      <c r="H154" s="20" t="s">
        <v>3472</v>
      </c>
      <c r="I154" s="335">
        <v>5431531.4</v>
      </c>
      <c r="J154" s="335">
        <v>6890387.5</v>
      </c>
      <c r="K154" s="335">
        <v>7078292.4</v>
      </c>
      <c r="L154" s="335">
        <v>7149224.1</v>
      </c>
      <c r="M154" s="335">
        <v>6847268.2</v>
      </c>
      <c r="N154" s="335">
        <v>6702686.5</v>
      </c>
      <c r="O154" s="335">
        <v>6683468.3</v>
      </c>
      <c r="P154" s="335">
        <v>7477515.6</v>
      </c>
      <c r="Q154" s="335">
        <v>7275278.2</v>
      </c>
      <c r="R154" s="335">
        <v>7584859.1</v>
      </c>
    </row>
    <row r="155" spans="4:18" ht="15">
      <c r="D155" s="28" t="s">
        <v>2982</v>
      </c>
      <c r="E155" s="21" t="s">
        <v>868</v>
      </c>
      <c r="F155" s="20" t="s">
        <v>668</v>
      </c>
      <c r="G155" s="28" t="s">
        <v>2981</v>
      </c>
      <c r="H155" s="20" t="s">
        <v>3473</v>
      </c>
      <c r="I155" s="335">
        <v>5184610.5</v>
      </c>
      <c r="J155" s="335">
        <v>6971125.8</v>
      </c>
      <c r="K155" s="335">
        <v>7411734.4</v>
      </c>
      <c r="L155" s="335">
        <v>7797008.4</v>
      </c>
      <c r="M155" s="335">
        <v>8298884.5</v>
      </c>
      <c r="N155" s="335">
        <v>8774041.3</v>
      </c>
      <c r="O155" s="335">
        <v>9390709.9</v>
      </c>
      <c r="P155" s="335">
        <v>10899208.1</v>
      </c>
      <c r="Q155" s="335">
        <v>11229941.7</v>
      </c>
      <c r="R155" s="335">
        <v>10733328.7</v>
      </c>
    </row>
    <row r="156" spans="4:18" ht="15">
      <c r="D156" s="20" t="s">
        <v>2984</v>
      </c>
      <c r="E156" s="21" t="s">
        <v>869</v>
      </c>
      <c r="F156" s="20" t="s">
        <v>668</v>
      </c>
      <c r="G156" s="20" t="s">
        <v>2983</v>
      </c>
      <c r="H156" s="20" t="s">
        <v>3474</v>
      </c>
      <c r="I156" s="335">
        <v>33435408.2</v>
      </c>
      <c r="J156" s="335">
        <v>38471961</v>
      </c>
      <c r="K156" s="335">
        <v>39618534.3</v>
      </c>
      <c r="L156" s="335">
        <v>42913629.1</v>
      </c>
      <c r="M156" s="335">
        <v>45904611.4</v>
      </c>
      <c r="N156" s="335">
        <v>49275240.9</v>
      </c>
      <c r="O156" s="335">
        <v>54335405.8</v>
      </c>
      <c r="P156" s="335">
        <v>59945624.2</v>
      </c>
      <c r="Q156" s="335">
        <v>64582748.2</v>
      </c>
      <c r="R156" s="335">
        <v>66447997.1</v>
      </c>
    </row>
    <row r="157" spans="4:18" ht="15">
      <c r="D157" s="28" t="s">
        <v>2986</v>
      </c>
      <c r="E157" s="21" t="s">
        <v>870</v>
      </c>
      <c r="F157" s="20" t="s">
        <v>668</v>
      </c>
      <c r="G157" s="28" t="s">
        <v>2985</v>
      </c>
      <c r="H157" s="20" t="s">
        <v>3475</v>
      </c>
      <c r="I157" s="335">
        <v>9955402.1</v>
      </c>
      <c r="J157" s="335">
        <v>11677095.1</v>
      </c>
      <c r="K157" s="335">
        <v>12121840.5</v>
      </c>
      <c r="L157" s="335">
        <v>13117359.3</v>
      </c>
      <c r="M157" s="335">
        <v>14064897.6</v>
      </c>
      <c r="N157" s="335">
        <v>14963350.1</v>
      </c>
      <c r="O157" s="335">
        <v>15854904.7</v>
      </c>
      <c r="P157" s="335">
        <v>17472302.5</v>
      </c>
      <c r="Q157" s="335">
        <v>19312371.1</v>
      </c>
      <c r="R157" s="335">
        <v>19373049.2</v>
      </c>
    </row>
    <row r="158" spans="4:18" ht="15">
      <c r="D158" s="28" t="s">
        <v>2988</v>
      </c>
      <c r="E158" s="21" t="s">
        <v>871</v>
      </c>
      <c r="F158" s="20" t="s">
        <v>668</v>
      </c>
      <c r="G158" s="28" t="s">
        <v>2987</v>
      </c>
      <c r="H158" s="20" t="s">
        <v>3476</v>
      </c>
      <c r="I158" s="335">
        <v>8108201.9</v>
      </c>
      <c r="J158" s="335">
        <v>9385914</v>
      </c>
      <c r="K158" s="335">
        <v>9675255.6</v>
      </c>
      <c r="L158" s="335">
        <v>10550147.3</v>
      </c>
      <c r="M158" s="335">
        <v>11323011</v>
      </c>
      <c r="N158" s="335">
        <v>11994282.1</v>
      </c>
      <c r="O158" s="335">
        <v>13282335.7</v>
      </c>
      <c r="P158" s="335">
        <v>14381665</v>
      </c>
      <c r="Q158" s="335">
        <v>15565227</v>
      </c>
      <c r="R158" s="335">
        <v>15808660.3</v>
      </c>
    </row>
    <row r="159" spans="4:18" ht="15">
      <c r="D159" s="28" t="s">
        <v>369</v>
      </c>
      <c r="E159" s="21" t="s">
        <v>872</v>
      </c>
      <c r="F159" s="20" t="s">
        <v>668</v>
      </c>
      <c r="G159" s="28" t="s">
        <v>2989</v>
      </c>
      <c r="H159" s="20" t="s">
        <v>3477</v>
      </c>
      <c r="I159" s="335">
        <v>6981116.5</v>
      </c>
      <c r="J159" s="335">
        <v>7850168.7</v>
      </c>
      <c r="K159" s="335">
        <v>7882436.9</v>
      </c>
      <c r="L159" s="335">
        <v>8240153.4</v>
      </c>
      <c r="M159" s="335">
        <v>8696505.8</v>
      </c>
      <c r="N159" s="335">
        <v>9103496.8</v>
      </c>
      <c r="O159" s="335">
        <v>9986635.6</v>
      </c>
      <c r="P159" s="335">
        <v>11234167.1</v>
      </c>
      <c r="Q159" s="335">
        <v>12283304.2</v>
      </c>
      <c r="R159" s="335">
        <v>13751579.6</v>
      </c>
    </row>
    <row r="160" spans="4:18" ht="15">
      <c r="D160" s="28" t="s">
        <v>2991</v>
      </c>
      <c r="E160" s="21" t="s">
        <v>873</v>
      </c>
      <c r="F160" s="20" t="s">
        <v>668</v>
      </c>
      <c r="G160" s="28" t="s">
        <v>2990</v>
      </c>
      <c r="H160" s="20" t="s">
        <v>3478</v>
      </c>
      <c r="I160" s="335">
        <v>8390687.7</v>
      </c>
      <c r="J160" s="335">
        <v>9558783.2</v>
      </c>
      <c r="K160" s="335">
        <v>9939001.3</v>
      </c>
      <c r="L160" s="335">
        <v>11005969.1</v>
      </c>
      <c r="M160" s="335">
        <v>11820197</v>
      </c>
      <c r="N160" s="335">
        <v>13169021.7</v>
      </c>
      <c r="O160" s="335">
        <v>15167639.9</v>
      </c>
      <c r="P160" s="335">
        <v>16812135.6</v>
      </c>
      <c r="Q160" s="335">
        <v>17405505.8</v>
      </c>
      <c r="R160" s="335">
        <v>17514708</v>
      </c>
    </row>
    <row r="161" spans="4:18" ht="15">
      <c r="D161" s="20" t="s">
        <v>376</v>
      </c>
      <c r="E161" s="21" t="s">
        <v>874</v>
      </c>
      <c r="F161" s="20" t="s">
        <v>685</v>
      </c>
      <c r="G161" s="20" t="s">
        <v>685</v>
      </c>
      <c r="H161" s="20" t="s">
        <v>3479</v>
      </c>
      <c r="I161" s="335">
        <v>34853306.2</v>
      </c>
      <c r="J161" s="335">
        <v>40905805.2</v>
      </c>
      <c r="K161" s="335">
        <v>38608825</v>
      </c>
      <c r="L161" s="335">
        <v>36912081</v>
      </c>
      <c r="M161" s="335">
        <v>38875512.2</v>
      </c>
      <c r="N161" s="335">
        <v>39330971.8</v>
      </c>
      <c r="O161" s="335">
        <v>40917334</v>
      </c>
      <c r="P161" s="335">
        <v>44779674.1</v>
      </c>
      <c r="Q161" s="335">
        <v>49682417.5</v>
      </c>
      <c r="R161" s="335">
        <v>53012357.7</v>
      </c>
    </row>
    <row r="162" spans="4:18" ht="15">
      <c r="D162" s="20" t="s">
        <v>2993</v>
      </c>
      <c r="E162" s="21" t="s">
        <v>875</v>
      </c>
      <c r="F162" s="20" t="s">
        <v>685</v>
      </c>
      <c r="G162" s="20" t="s">
        <v>2992</v>
      </c>
      <c r="H162" s="20" t="s">
        <v>3480</v>
      </c>
      <c r="I162" s="335">
        <v>7192365.4</v>
      </c>
      <c r="J162" s="335">
        <v>7916745.4</v>
      </c>
      <c r="K162" s="335">
        <v>8470690.2</v>
      </c>
      <c r="L162" s="335">
        <v>9029797.7</v>
      </c>
      <c r="M162" s="335">
        <v>9678555.8</v>
      </c>
      <c r="N162" s="335">
        <v>10119046.8</v>
      </c>
      <c r="O162" s="335">
        <v>11485935</v>
      </c>
      <c r="P162" s="335">
        <v>12443865.9</v>
      </c>
      <c r="Q162" s="335">
        <v>12839033</v>
      </c>
      <c r="R162" s="335">
        <v>14471107</v>
      </c>
    </row>
    <row r="163" spans="4:18" ht="15">
      <c r="D163" s="28" t="s">
        <v>2995</v>
      </c>
      <c r="E163" s="21" t="s">
        <v>876</v>
      </c>
      <c r="F163" s="20" t="s">
        <v>685</v>
      </c>
      <c r="G163" s="28" t="s">
        <v>2994</v>
      </c>
      <c r="H163" s="20" t="s">
        <v>3481</v>
      </c>
      <c r="I163" s="335">
        <v>935226.5</v>
      </c>
      <c r="J163" s="335">
        <v>1165819.2</v>
      </c>
      <c r="K163" s="335">
        <v>1066046.2</v>
      </c>
      <c r="L163" s="335">
        <v>1058209</v>
      </c>
      <c r="M163" s="335">
        <v>1022377.9</v>
      </c>
      <c r="N163" s="335">
        <v>1085434.3</v>
      </c>
      <c r="O163" s="335">
        <v>1238448.4</v>
      </c>
      <c r="P163" s="335">
        <v>1616386.7</v>
      </c>
      <c r="Q163" s="335">
        <v>1693493</v>
      </c>
      <c r="R163" s="335">
        <v>1809013.1</v>
      </c>
    </row>
    <row r="164" spans="4:18" ht="15">
      <c r="D164" s="28" t="s">
        <v>2997</v>
      </c>
      <c r="E164" s="21" t="s">
        <v>877</v>
      </c>
      <c r="F164" s="20" t="s">
        <v>685</v>
      </c>
      <c r="G164" s="28" t="s">
        <v>2996</v>
      </c>
      <c r="H164" s="20" t="s">
        <v>3482</v>
      </c>
      <c r="I164" s="335">
        <v>3536426.8</v>
      </c>
      <c r="J164" s="335">
        <v>3882738.5</v>
      </c>
      <c r="K164" s="335">
        <v>4354516</v>
      </c>
      <c r="L164" s="335">
        <v>4784928.3</v>
      </c>
      <c r="M164" s="335">
        <v>5456025.4</v>
      </c>
      <c r="N164" s="335">
        <v>5613713.9</v>
      </c>
      <c r="O164" s="335">
        <v>6496674.4</v>
      </c>
      <c r="P164" s="335">
        <v>6952867</v>
      </c>
      <c r="Q164" s="335">
        <v>7098897</v>
      </c>
      <c r="R164" s="335">
        <v>7790265.1</v>
      </c>
    </row>
    <row r="165" spans="4:18" ht="15">
      <c r="D165" s="28" t="s">
        <v>2999</v>
      </c>
      <c r="E165" s="21" t="s">
        <v>878</v>
      </c>
      <c r="F165" s="20" t="s">
        <v>685</v>
      </c>
      <c r="G165" s="28" t="s">
        <v>2998</v>
      </c>
      <c r="H165" s="20" t="s">
        <v>3483</v>
      </c>
      <c r="I165" s="335">
        <v>1973962.3</v>
      </c>
      <c r="J165" s="335">
        <v>2091347.5</v>
      </c>
      <c r="K165" s="335">
        <v>2278242.6</v>
      </c>
      <c r="L165" s="335">
        <v>2326591.4</v>
      </c>
      <c r="M165" s="335">
        <v>2424110</v>
      </c>
      <c r="N165" s="335">
        <v>2581581.2</v>
      </c>
      <c r="O165" s="335">
        <v>2830716.7</v>
      </c>
      <c r="P165" s="335">
        <v>2889433.5</v>
      </c>
      <c r="Q165" s="335">
        <v>3072261.3</v>
      </c>
      <c r="R165" s="335">
        <v>3870401</v>
      </c>
    </row>
    <row r="166" spans="4:18" ht="15">
      <c r="D166" s="28" t="s">
        <v>3001</v>
      </c>
      <c r="E166" s="21" t="s">
        <v>879</v>
      </c>
      <c r="F166" s="20" t="s">
        <v>685</v>
      </c>
      <c r="G166" s="28" t="s">
        <v>3000</v>
      </c>
      <c r="H166" s="20" t="s">
        <v>3484</v>
      </c>
      <c r="I166" s="335">
        <v>498117.8</v>
      </c>
      <c r="J166" s="335">
        <v>545989.1</v>
      </c>
      <c r="K166" s="335">
        <v>502677.8</v>
      </c>
      <c r="L166" s="335">
        <v>572353.9</v>
      </c>
      <c r="M166" s="335">
        <v>547645.6</v>
      </c>
      <c r="N166" s="335">
        <v>611924.7</v>
      </c>
      <c r="O166" s="335">
        <v>695313.5</v>
      </c>
      <c r="P166" s="335">
        <v>754020.9</v>
      </c>
      <c r="Q166" s="335">
        <v>749481.4</v>
      </c>
      <c r="R166" s="335">
        <v>759842.7</v>
      </c>
    </row>
    <row r="167" spans="4:18" ht="15">
      <c r="D167" s="28" t="s">
        <v>3003</v>
      </c>
      <c r="E167" s="21" t="s">
        <v>880</v>
      </c>
      <c r="F167" s="20" t="s">
        <v>685</v>
      </c>
      <c r="G167" s="28" t="s">
        <v>3002</v>
      </c>
      <c r="H167" s="20" t="s">
        <v>3485</v>
      </c>
      <c r="I167" s="335">
        <v>248632</v>
      </c>
      <c r="J167" s="335">
        <v>230851.1</v>
      </c>
      <c r="K167" s="335">
        <v>269207.6</v>
      </c>
      <c r="L167" s="335">
        <v>287715.1</v>
      </c>
      <c r="M167" s="335">
        <v>228396.9</v>
      </c>
      <c r="N167" s="335">
        <v>226392.7</v>
      </c>
      <c r="O167" s="335">
        <v>224782</v>
      </c>
      <c r="P167" s="335">
        <v>231157.8</v>
      </c>
      <c r="Q167" s="335">
        <v>224900.3</v>
      </c>
      <c r="R167" s="335">
        <v>241585.1</v>
      </c>
    </row>
    <row r="168" spans="4:18" ht="15">
      <c r="D168" s="20" t="s">
        <v>3005</v>
      </c>
      <c r="E168" s="21" t="s">
        <v>881</v>
      </c>
      <c r="F168" s="20" t="s">
        <v>685</v>
      </c>
      <c r="G168" s="20" t="s">
        <v>3004</v>
      </c>
      <c r="H168" s="20" t="s">
        <v>3486</v>
      </c>
      <c r="I168" s="335">
        <v>779820.4</v>
      </c>
      <c r="J168" s="335">
        <v>970034.9</v>
      </c>
      <c r="K168" s="335">
        <v>957681.8</v>
      </c>
      <c r="L168" s="335">
        <v>951416.4</v>
      </c>
      <c r="M168" s="335">
        <v>993176.6</v>
      </c>
      <c r="N168" s="335">
        <v>1071808.7</v>
      </c>
      <c r="O168" s="335">
        <v>1131832.2</v>
      </c>
      <c r="P168" s="335">
        <v>1282746.1</v>
      </c>
      <c r="Q168" s="335">
        <v>1554855.7</v>
      </c>
      <c r="R168" s="335">
        <v>1502730.4</v>
      </c>
    </row>
    <row r="169" spans="4:18" ht="15">
      <c r="D169" s="28" t="s">
        <v>3005</v>
      </c>
      <c r="E169" s="21" t="s">
        <v>882</v>
      </c>
      <c r="F169" s="20" t="s">
        <v>685</v>
      </c>
      <c r="G169" s="28" t="s">
        <v>3006</v>
      </c>
      <c r="H169" s="20" t="s">
        <v>3487</v>
      </c>
      <c r="I169" s="335">
        <v>779820.4</v>
      </c>
      <c r="J169" s="335">
        <v>970034.9</v>
      </c>
      <c r="K169" s="335">
        <v>957681.8</v>
      </c>
      <c r="L169" s="335">
        <v>951416.4</v>
      </c>
      <c r="M169" s="335">
        <v>993176.6</v>
      </c>
      <c r="N169" s="335">
        <v>1071808.7</v>
      </c>
      <c r="O169" s="335">
        <v>1131832.2</v>
      </c>
      <c r="P169" s="335">
        <v>1282746.1</v>
      </c>
      <c r="Q169" s="335">
        <v>1554855.7</v>
      </c>
      <c r="R169" s="335">
        <v>1502730.4</v>
      </c>
    </row>
    <row r="170" spans="4:18" ht="15">
      <c r="D170" s="20" t="s">
        <v>3008</v>
      </c>
      <c r="E170" s="21" t="s">
        <v>883</v>
      </c>
      <c r="F170" s="20" t="s">
        <v>685</v>
      </c>
      <c r="G170" s="20" t="s">
        <v>3007</v>
      </c>
      <c r="H170" s="20" t="s">
        <v>3488</v>
      </c>
      <c r="I170" s="335">
        <v>3318183.2</v>
      </c>
      <c r="J170" s="335">
        <v>3549000.3</v>
      </c>
      <c r="K170" s="335">
        <v>3284350.2</v>
      </c>
      <c r="L170" s="335">
        <v>3211809.4</v>
      </c>
      <c r="M170" s="335">
        <v>3113530.7</v>
      </c>
      <c r="N170" s="335">
        <v>3324792.4</v>
      </c>
      <c r="O170" s="335">
        <v>3347904.3</v>
      </c>
      <c r="P170" s="335">
        <v>3476641.6</v>
      </c>
      <c r="Q170" s="335">
        <v>3831681.3</v>
      </c>
      <c r="R170" s="335">
        <v>4151340.3</v>
      </c>
    </row>
    <row r="171" spans="4:18" ht="15">
      <c r="D171" s="28" t="s">
        <v>3010</v>
      </c>
      <c r="E171" s="21" t="s">
        <v>884</v>
      </c>
      <c r="F171" s="20" t="s">
        <v>685</v>
      </c>
      <c r="G171" s="28" t="s">
        <v>3009</v>
      </c>
      <c r="H171" s="20" t="s">
        <v>3489</v>
      </c>
      <c r="I171" s="335">
        <v>2091747.9</v>
      </c>
      <c r="J171" s="335">
        <v>2273808.8</v>
      </c>
      <c r="K171" s="335">
        <v>2242354.6</v>
      </c>
      <c r="L171" s="335">
        <v>2216681.7</v>
      </c>
      <c r="M171" s="335">
        <v>2156836.3</v>
      </c>
      <c r="N171" s="335">
        <v>2313607.3</v>
      </c>
      <c r="O171" s="335">
        <v>2293484.4</v>
      </c>
      <c r="P171" s="335">
        <v>2348453.4</v>
      </c>
      <c r="Q171" s="335">
        <v>2522139.2</v>
      </c>
      <c r="R171" s="335">
        <v>2777308.1</v>
      </c>
    </row>
    <row r="172" spans="4:18" ht="15">
      <c r="D172" s="28" t="s">
        <v>3012</v>
      </c>
      <c r="E172" s="21" t="s">
        <v>885</v>
      </c>
      <c r="F172" s="20" t="s">
        <v>685</v>
      </c>
      <c r="G172" s="28" t="s">
        <v>3011</v>
      </c>
      <c r="H172" s="20" t="s">
        <v>3490</v>
      </c>
      <c r="I172" s="335">
        <v>1226435.3</v>
      </c>
      <c r="J172" s="335">
        <v>1275191.5</v>
      </c>
      <c r="K172" s="335">
        <v>1041995.6</v>
      </c>
      <c r="L172" s="335">
        <v>995127.7</v>
      </c>
      <c r="M172" s="335">
        <v>956694.4</v>
      </c>
      <c r="N172" s="335">
        <v>1011185.1</v>
      </c>
      <c r="O172" s="335">
        <v>1054419.9</v>
      </c>
      <c r="P172" s="335">
        <v>1128188.2</v>
      </c>
      <c r="Q172" s="335">
        <v>1309542.1</v>
      </c>
      <c r="R172" s="335">
        <v>1374032.2</v>
      </c>
    </row>
    <row r="173" spans="4:18" ht="15">
      <c r="D173" s="20" t="s">
        <v>3014</v>
      </c>
      <c r="E173" s="21" t="s">
        <v>886</v>
      </c>
      <c r="F173" s="20" t="s">
        <v>685</v>
      </c>
      <c r="G173" s="20" t="s">
        <v>3013</v>
      </c>
      <c r="H173" s="20" t="s">
        <v>3491</v>
      </c>
      <c r="I173" s="335">
        <v>2026553.6</v>
      </c>
      <c r="J173" s="335">
        <v>2204191.2</v>
      </c>
      <c r="K173" s="335">
        <v>2090503.8</v>
      </c>
      <c r="L173" s="335">
        <v>2229492.1</v>
      </c>
      <c r="M173" s="335">
        <v>2278196.8</v>
      </c>
      <c r="N173" s="335">
        <v>2399718.2</v>
      </c>
      <c r="O173" s="335">
        <v>2693628.1</v>
      </c>
      <c r="P173" s="335">
        <v>2731103.2</v>
      </c>
      <c r="Q173" s="335">
        <v>2815335</v>
      </c>
      <c r="R173" s="335">
        <v>3134753.4</v>
      </c>
    </row>
    <row r="174" spans="4:18" ht="15">
      <c r="D174" s="28" t="s">
        <v>3016</v>
      </c>
      <c r="E174" s="21" t="s">
        <v>887</v>
      </c>
      <c r="F174" s="20" t="s">
        <v>685</v>
      </c>
      <c r="G174" s="28" t="s">
        <v>3015</v>
      </c>
      <c r="H174" s="20" t="s">
        <v>3492</v>
      </c>
      <c r="I174" s="335">
        <v>346461.1</v>
      </c>
      <c r="J174" s="335">
        <v>326676.2</v>
      </c>
      <c r="K174" s="335">
        <v>366940.9</v>
      </c>
      <c r="L174" s="335">
        <v>436152.5</v>
      </c>
      <c r="M174" s="335">
        <v>412269.2</v>
      </c>
      <c r="N174" s="335">
        <v>408270.1</v>
      </c>
      <c r="O174" s="335">
        <v>455905.7</v>
      </c>
      <c r="P174" s="335">
        <v>452756.3</v>
      </c>
      <c r="Q174" s="335">
        <v>433966.4</v>
      </c>
      <c r="R174" s="335">
        <v>401362.5</v>
      </c>
    </row>
    <row r="175" spans="4:18" ht="15">
      <c r="D175" s="28" t="s">
        <v>411</v>
      </c>
      <c r="E175" s="21" t="s">
        <v>888</v>
      </c>
      <c r="F175" s="20" t="s">
        <v>685</v>
      </c>
      <c r="G175" s="28" t="s">
        <v>3017</v>
      </c>
      <c r="H175" s="20" t="s">
        <v>3493</v>
      </c>
      <c r="I175" s="335">
        <v>609149.9</v>
      </c>
      <c r="J175" s="335">
        <v>622203.6</v>
      </c>
      <c r="K175" s="335">
        <v>562876.6</v>
      </c>
      <c r="L175" s="335">
        <v>586851.8</v>
      </c>
      <c r="M175" s="335">
        <v>548163.6</v>
      </c>
      <c r="N175" s="335">
        <v>579573.5</v>
      </c>
      <c r="O175" s="335">
        <v>569885.7</v>
      </c>
      <c r="P175" s="335">
        <v>594487.5</v>
      </c>
      <c r="Q175" s="335">
        <v>618855</v>
      </c>
      <c r="R175" s="335">
        <v>668609.3</v>
      </c>
    </row>
    <row r="176" spans="4:18" ht="15">
      <c r="D176" s="28" t="s">
        <v>3019</v>
      </c>
      <c r="E176" s="21" t="s">
        <v>889</v>
      </c>
      <c r="F176" s="20" t="s">
        <v>685</v>
      </c>
      <c r="G176" s="28" t="s">
        <v>3018</v>
      </c>
      <c r="H176" s="20" t="s">
        <v>3494</v>
      </c>
      <c r="I176" s="335">
        <v>126923.3</v>
      </c>
      <c r="J176" s="335">
        <v>126050.5</v>
      </c>
      <c r="K176" s="335">
        <v>127694.6</v>
      </c>
      <c r="L176" s="335">
        <v>134920.2</v>
      </c>
      <c r="M176" s="335">
        <v>122431.4</v>
      </c>
      <c r="N176" s="335">
        <v>119832.1</v>
      </c>
      <c r="O176" s="335">
        <v>114329.3</v>
      </c>
      <c r="P176" s="335">
        <v>113048.9</v>
      </c>
      <c r="Q176" s="335">
        <v>107119.4</v>
      </c>
      <c r="R176" s="335">
        <v>103027.4</v>
      </c>
    </row>
    <row r="177" spans="4:18" ht="15">
      <c r="D177" s="28" t="s">
        <v>3021</v>
      </c>
      <c r="E177" s="21" t="s">
        <v>890</v>
      </c>
      <c r="F177" s="20" t="s">
        <v>685</v>
      </c>
      <c r="G177" s="28" t="s">
        <v>3020</v>
      </c>
      <c r="H177" s="20" t="s">
        <v>3495</v>
      </c>
      <c r="I177" s="336" t="s">
        <v>2740</v>
      </c>
      <c r="J177" s="335" t="s">
        <v>2740</v>
      </c>
      <c r="K177" s="335" t="s">
        <v>2740</v>
      </c>
      <c r="L177" s="335" t="s">
        <v>2740</v>
      </c>
      <c r="M177" s="335" t="s">
        <v>2740</v>
      </c>
      <c r="N177" s="335" t="s">
        <v>2740</v>
      </c>
      <c r="O177" s="335" t="s">
        <v>2740</v>
      </c>
      <c r="P177" s="335" t="s">
        <v>2740</v>
      </c>
      <c r="Q177" s="335" t="s">
        <v>2740</v>
      </c>
      <c r="R177" s="335" t="s">
        <v>2740</v>
      </c>
    </row>
    <row r="178" spans="4:18" ht="15">
      <c r="D178" s="28" t="s">
        <v>3023</v>
      </c>
      <c r="E178" s="21" t="s">
        <v>891</v>
      </c>
      <c r="F178" s="20" t="s">
        <v>685</v>
      </c>
      <c r="G178" s="28" t="s">
        <v>3022</v>
      </c>
      <c r="H178" s="20" t="s">
        <v>3496</v>
      </c>
      <c r="I178" s="336" t="s">
        <v>2740</v>
      </c>
      <c r="J178" s="335" t="s">
        <v>2740</v>
      </c>
      <c r="K178" s="335" t="s">
        <v>2740</v>
      </c>
      <c r="L178" s="335" t="s">
        <v>2740</v>
      </c>
      <c r="M178" s="335" t="s">
        <v>2740</v>
      </c>
      <c r="N178" s="335" t="s">
        <v>2740</v>
      </c>
      <c r="O178" s="335" t="s">
        <v>2740</v>
      </c>
      <c r="P178" s="335" t="s">
        <v>2740</v>
      </c>
      <c r="Q178" s="335" t="s">
        <v>2740</v>
      </c>
      <c r="R178" s="335" t="s">
        <v>2740</v>
      </c>
    </row>
    <row r="179" spans="4:18" ht="15">
      <c r="D179" s="20" t="s">
        <v>3025</v>
      </c>
      <c r="E179" s="21" t="s">
        <v>892</v>
      </c>
      <c r="F179" s="20" t="s">
        <v>685</v>
      </c>
      <c r="G179" s="20" t="s">
        <v>3024</v>
      </c>
      <c r="H179" s="20" t="s">
        <v>3497</v>
      </c>
      <c r="I179" s="335">
        <v>4920071.2</v>
      </c>
      <c r="J179" s="335">
        <v>5933479.8</v>
      </c>
      <c r="K179" s="335">
        <v>5015430.2</v>
      </c>
      <c r="L179" s="335">
        <v>4573594.2</v>
      </c>
      <c r="M179" s="335">
        <v>4843807.3</v>
      </c>
      <c r="N179" s="335">
        <v>4658314.9</v>
      </c>
      <c r="O179" s="335">
        <v>4587608.3</v>
      </c>
      <c r="P179" s="335">
        <v>4875975.8</v>
      </c>
      <c r="Q179" s="335">
        <v>5524984.3</v>
      </c>
      <c r="R179" s="335">
        <v>6206601.7</v>
      </c>
    </row>
    <row r="180" spans="4:18" ht="15">
      <c r="D180" s="28" t="s">
        <v>3027</v>
      </c>
      <c r="E180" s="21" t="s">
        <v>893</v>
      </c>
      <c r="F180" s="20" t="s">
        <v>685</v>
      </c>
      <c r="G180" s="28" t="s">
        <v>3026</v>
      </c>
      <c r="H180" s="20" t="s">
        <v>3498</v>
      </c>
      <c r="I180" s="335">
        <v>4201259.1</v>
      </c>
      <c r="J180" s="335">
        <v>5147647.9</v>
      </c>
      <c r="K180" s="335">
        <v>4306399.1</v>
      </c>
      <c r="L180" s="335">
        <v>3864680.2</v>
      </c>
      <c r="M180" s="335">
        <v>4043948.2</v>
      </c>
      <c r="N180" s="335">
        <v>3809943.7</v>
      </c>
      <c r="O180" s="335">
        <v>3748863.3</v>
      </c>
      <c r="P180" s="335">
        <v>3998893.6</v>
      </c>
      <c r="Q180" s="335">
        <v>4618268.7</v>
      </c>
      <c r="R180" s="335">
        <v>5353440.9</v>
      </c>
    </row>
    <row r="181" spans="4:18" ht="15">
      <c r="D181" s="28" t="s">
        <v>3029</v>
      </c>
      <c r="E181" s="21" t="s">
        <v>894</v>
      </c>
      <c r="F181" s="20" t="s">
        <v>685</v>
      </c>
      <c r="G181" s="28" t="s">
        <v>3028</v>
      </c>
      <c r="H181" s="20" t="s">
        <v>3499</v>
      </c>
      <c r="I181" s="335">
        <v>718812.1</v>
      </c>
      <c r="J181" s="335">
        <v>785831.9</v>
      </c>
      <c r="K181" s="335">
        <v>709031.1</v>
      </c>
      <c r="L181" s="335">
        <v>708914</v>
      </c>
      <c r="M181" s="335">
        <v>799859.1</v>
      </c>
      <c r="N181" s="335">
        <v>848371.2</v>
      </c>
      <c r="O181" s="335">
        <v>838745</v>
      </c>
      <c r="P181" s="335">
        <v>877082.2</v>
      </c>
      <c r="Q181" s="335">
        <v>906715.6</v>
      </c>
      <c r="R181" s="335">
        <v>853160.8</v>
      </c>
    </row>
    <row r="182" spans="4:18" ht="15">
      <c r="D182" s="20" t="s">
        <v>3031</v>
      </c>
      <c r="E182" s="21" t="s">
        <v>895</v>
      </c>
      <c r="F182" s="20" t="s">
        <v>685</v>
      </c>
      <c r="G182" s="20" t="s">
        <v>3030</v>
      </c>
      <c r="H182" s="20" t="s">
        <v>3500</v>
      </c>
      <c r="I182" s="335">
        <v>11870807.6</v>
      </c>
      <c r="J182" s="335">
        <v>14569211.4</v>
      </c>
      <c r="K182" s="335">
        <v>12790856.6</v>
      </c>
      <c r="L182" s="335">
        <v>12039264.5</v>
      </c>
      <c r="M182" s="335">
        <v>12844301.2</v>
      </c>
      <c r="N182" s="335">
        <v>12888239.9</v>
      </c>
      <c r="O182" s="335">
        <v>12685375.7</v>
      </c>
      <c r="P182" s="335">
        <v>14245706.7</v>
      </c>
      <c r="Q182" s="335">
        <v>16882443.5</v>
      </c>
      <c r="R182" s="335">
        <v>17471690.4</v>
      </c>
    </row>
    <row r="183" spans="4:18" ht="15">
      <c r="D183" s="28" t="s">
        <v>3033</v>
      </c>
      <c r="E183" s="21" t="s">
        <v>896</v>
      </c>
      <c r="F183" s="20" t="s">
        <v>685</v>
      </c>
      <c r="G183" s="28" t="s">
        <v>3032</v>
      </c>
      <c r="H183" s="20" t="s">
        <v>3501</v>
      </c>
      <c r="I183" s="335">
        <v>4890864.1</v>
      </c>
      <c r="J183" s="335">
        <v>5745277.1</v>
      </c>
      <c r="K183" s="335">
        <v>5112590</v>
      </c>
      <c r="L183" s="335">
        <v>5028910.6</v>
      </c>
      <c r="M183" s="335">
        <v>5723929.1</v>
      </c>
      <c r="N183" s="335">
        <v>5709865.8</v>
      </c>
      <c r="O183" s="335">
        <v>5726555.6</v>
      </c>
      <c r="P183" s="335">
        <v>6749207.5</v>
      </c>
      <c r="Q183" s="335">
        <v>8197352.8</v>
      </c>
      <c r="R183" s="335">
        <v>8287294.6</v>
      </c>
    </row>
    <row r="184" spans="4:18" ht="15">
      <c r="D184" s="28" t="s">
        <v>3035</v>
      </c>
      <c r="E184" s="21" t="s">
        <v>897</v>
      </c>
      <c r="F184" s="20" t="s">
        <v>685</v>
      </c>
      <c r="G184" s="28" t="s">
        <v>3034</v>
      </c>
      <c r="H184" s="20" t="s">
        <v>3502</v>
      </c>
      <c r="I184" s="335">
        <v>535416.9</v>
      </c>
      <c r="J184" s="335">
        <v>545800.5</v>
      </c>
      <c r="K184" s="335">
        <v>557809.6</v>
      </c>
      <c r="L184" s="335">
        <v>561840.1</v>
      </c>
      <c r="M184" s="335">
        <v>537995.4</v>
      </c>
      <c r="N184" s="335">
        <v>497361.7</v>
      </c>
      <c r="O184" s="335">
        <v>529786</v>
      </c>
      <c r="P184" s="335">
        <v>600659.2</v>
      </c>
      <c r="Q184" s="335">
        <v>600518.1</v>
      </c>
      <c r="R184" s="335">
        <v>653777.9</v>
      </c>
    </row>
    <row r="185" spans="4:18" ht="15">
      <c r="D185" s="28" t="s">
        <v>3037</v>
      </c>
      <c r="E185" s="21" t="s">
        <v>898</v>
      </c>
      <c r="F185" s="20" t="s">
        <v>685</v>
      </c>
      <c r="G185" s="28" t="s">
        <v>3036</v>
      </c>
      <c r="H185" s="20" t="s">
        <v>3503</v>
      </c>
      <c r="I185" s="335">
        <v>3933364.6</v>
      </c>
      <c r="J185" s="335">
        <v>5337379.6</v>
      </c>
      <c r="K185" s="335">
        <v>4301686</v>
      </c>
      <c r="L185" s="335">
        <v>3793401.2</v>
      </c>
      <c r="M185" s="335">
        <v>3936322.6</v>
      </c>
      <c r="N185" s="335">
        <v>4141331.3</v>
      </c>
      <c r="O185" s="335">
        <v>3856724.4</v>
      </c>
      <c r="P185" s="335">
        <v>4414327.2</v>
      </c>
      <c r="Q185" s="335">
        <v>5343692.9</v>
      </c>
      <c r="R185" s="335">
        <v>5576977.8</v>
      </c>
    </row>
    <row r="186" spans="4:18" ht="15">
      <c r="D186" s="28" t="s">
        <v>429</v>
      </c>
      <c r="E186" s="21" t="s">
        <v>899</v>
      </c>
      <c r="F186" s="20" t="s">
        <v>685</v>
      </c>
      <c r="G186" s="28" t="s">
        <v>3038</v>
      </c>
      <c r="H186" s="20" t="s">
        <v>3504</v>
      </c>
      <c r="I186" s="335">
        <v>2090223</v>
      </c>
      <c r="J186" s="335">
        <v>2376796</v>
      </c>
      <c r="K186" s="335">
        <v>2213298.2</v>
      </c>
      <c r="L186" s="335">
        <v>2113815.5</v>
      </c>
      <c r="M186" s="335">
        <v>2169535.5</v>
      </c>
      <c r="N186" s="335">
        <v>2094427.3</v>
      </c>
      <c r="O186" s="335">
        <v>2049049</v>
      </c>
      <c r="P186" s="335">
        <v>1933473.7</v>
      </c>
      <c r="Q186" s="335">
        <v>2098930.9</v>
      </c>
      <c r="R186" s="335">
        <v>2342041.7</v>
      </c>
    </row>
    <row r="187" spans="4:18" ht="15">
      <c r="D187" s="28" t="s">
        <v>3040</v>
      </c>
      <c r="E187" s="21" t="s">
        <v>900</v>
      </c>
      <c r="F187" s="20" t="s">
        <v>685</v>
      </c>
      <c r="G187" s="28" t="s">
        <v>3039</v>
      </c>
      <c r="H187" s="20" t="s">
        <v>3505</v>
      </c>
      <c r="I187" s="336" t="s">
        <v>2740</v>
      </c>
      <c r="J187" s="335" t="s">
        <v>2740</v>
      </c>
      <c r="K187" s="335" t="s">
        <v>2740</v>
      </c>
      <c r="L187" s="335" t="s">
        <v>2740</v>
      </c>
      <c r="M187" s="335" t="s">
        <v>2740</v>
      </c>
      <c r="N187" s="335" t="s">
        <v>2740</v>
      </c>
      <c r="O187" s="335" t="s">
        <v>2740</v>
      </c>
      <c r="P187" s="335" t="s">
        <v>2740</v>
      </c>
      <c r="Q187" s="335" t="s">
        <v>2740</v>
      </c>
      <c r="R187" s="335" t="s">
        <v>2740</v>
      </c>
    </row>
    <row r="188" spans="4:18" ht="15">
      <c r="D188" s="28" t="s">
        <v>3042</v>
      </c>
      <c r="E188" s="21" t="s">
        <v>901</v>
      </c>
      <c r="F188" s="20" t="s">
        <v>685</v>
      </c>
      <c r="G188" s="28" t="s">
        <v>3041</v>
      </c>
      <c r="H188" s="20" t="s">
        <v>3506</v>
      </c>
      <c r="I188" s="336" t="s">
        <v>2740</v>
      </c>
      <c r="J188" s="335" t="s">
        <v>2740</v>
      </c>
      <c r="K188" s="335" t="s">
        <v>2740</v>
      </c>
      <c r="L188" s="335" t="s">
        <v>2740</v>
      </c>
      <c r="M188" s="335" t="s">
        <v>2740</v>
      </c>
      <c r="N188" s="335" t="s">
        <v>2740</v>
      </c>
      <c r="O188" s="335" t="s">
        <v>2740</v>
      </c>
      <c r="P188" s="335" t="s">
        <v>2740</v>
      </c>
      <c r="Q188" s="335" t="s">
        <v>2740</v>
      </c>
      <c r="R188" s="335" t="s">
        <v>2740</v>
      </c>
    </row>
    <row r="189" spans="4:18" ht="15">
      <c r="D189" s="20" t="s">
        <v>3044</v>
      </c>
      <c r="E189" s="21" t="s">
        <v>902</v>
      </c>
      <c r="F189" s="20" t="s">
        <v>685</v>
      </c>
      <c r="G189" s="20" t="s">
        <v>3043</v>
      </c>
      <c r="H189" s="20" t="s">
        <v>3507</v>
      </c>
      <c r="I189" s="335">
        <v>403654.6</v>
      </c>
      <c r="J189" s="335">
        <v>470976.5</v>
      </c>
      <c r="K189" s="335">
        <v>437698.7</v>
      </c>
      <c r="L189" s="335">
        <v>460253.6</v>
      </c>
      <c r="M189" s="335">
        <v>504342.7</v>
      </c>
      <c r="N189" s="335">
        <v>429252.3</v>
      </c>
      <c r="O189" s="335">
        <v>455664.9</v>
      </c>
      <c r="P189" s="335">
        <v>486003.9</v>
      </c>
      <c r="Q189" s="335">
        <v>515669.5</v>
      </c>
      <c r="R189" s="335">
        <v>520317.2</v>
      </c>
    </row>
    <row r="190" spans="4:18" ht="15">
      <c r="D190" s="28" t="s">
        <v>3044</v>
      </c>
      <c r="E190" s="21" t="s">
        <v>903</v>
      </c>
      <c r="F190" s="20" t="s">
        <v>685</v>
      </c>
      <c r="G190" s="28" t="s">
        <v>3045</v>
      </c>
      <c r="H190" s="20" t="s">
        <v>3508</v>
      </c>
      <c r="I190" s="335">
        <v>403654.6</v>
      </c>
      <c r="J190" s="335">
        <v>470976.5</v>
      </c>
      <c r="K190" s="335">
        <v>437698.7</v>
      </c>
      <c r="L190" s="335">
        <v>460253.6</v>
      </c>
      <c r="M190" s="335">
        <v>504342.7</v>
      </c>
      <c r="N190" s="335">
        <v>429252.3</v>
      </c>
      <c r="O190" s="335">
        <v>455664.9</v>
      </c>
      <c r="P190" s="335">
        <v>486003.9</v>
      </c>
      <c r="Q190" s="335">
        <v>515669.5</v>
      </c>
      <c r="R190" s="335">
        <v>520317.2</v>
      </c>
    </row>
    <row r="191" spans="4:18" ht="15">
      <c r="D191" s="20" t="s">
        <v>3047</v>
      </c>
      <c r="E191" s="21" t="s">
        <v>904</v>
      </c>
      <c r="F191" s="20" t="s">
        <v>685</v>
      </c>
      <c r="G191" s="20" t="s">
        <v>3046</v>
      </c>
      <c r="H191" s="20" t="s">
        <v>3509</v>
      </c>
      <c r="I191" s="335">
        <v>4341850.2</v>
      </c>
      <c r="J191" s="335">
        <v>5292165.7</v>
      </c>
      <c r="K191" s="335">
        <v>5561613.5</v>
      </c>
      <c r="L191" s="335">
        <v>4416205.5</v>
      </c>
      <c r="M191" s="335">
        <v>4619601.1</v>
      </c>
      <c r="N191" s="335">
        <v>4439798.6</v>
      </c>
      <c r="O191" s="335">
        <v>4529385.5</v>
      </c>
      <c r="P191" s="335">
        <v>5237630.9</v>
      </c>
      <c r="Q191" s="335">
        <v>5718415.2</v>
      </c>
      <c r="R191" s="335">
        <v>5553817.3</v>
      </c>
    </row>
    <row r="192" spans="4:18" ht="15">
      <c r="D192" s="28" t="s">
        <v>430</v>
      </c>
      <c r="E192" s="21" t="s">
        <v>905</v>
      </c>
      <c r="F192" s="20" t="s">
        <v>685</v>
      </c>
      <c r="G192" s="28" t="s">
        <v>3048</v>
      </c>
      <c r="H192" s="20" t="s">
        <v>3510</v>
      </c>
      <c r="I192" s="335">
        <v>658694.3</v>
      </c>
      <c r="J192" s="335">
        <v>709853.6</v>
      </c>
      <c r="K192" s="335">
        <v>840481.9</v>
      </c>
      <c r="L192" s="335">
        <v>761930.2</v>
      </c>
      <c r="M192" s="335">
        <v>878147.5</v>
      </c>
      <c r="N192" s="335">
        <v>924405.5</v>
      </c>
      <c r="O192" s="335">
        <v>1012158.3</v>
      </c>
      <c r="P192" s="335">
        <v>1045433.5</v>
      </c>
      <c r="Q192" s="335">
        <v>1067756.4</v>
      </c>
      <c r="R192" s="335">
        <v>1065305.7</v>
      </c>
    </row>
    <row r="193" spans="4:18" ht="15">
      <c r="D193" s="28" t="s">
        <v>3050</v>
      </c>
      <c r="E193" s="21" t="s">
        <v>906</v>
      </c>
      <c r="F193" s="20" t="s">
        <v>685</v>
      </c>
      <c r="G193" s="28" t="s">
        <v>3049</v>
      </c>
      <c r="H193" s="20" t="s">
        <v>3511</v>
      </c>
      <c r="I193" s="335">
        <v>3683155.9</v>
      </c>
      <c r="J193" s="335">
        <v>4582312.1</v>
      </c>
      <c r="K193" s="335">
        <v>4721131.6</v>
      </c>
      <c r="L193" s="335">
        <v>3654275.3</v>
      </c>
      <c r="M193" s="335">
        <v>3741453.6</v>
      </c>
      <c r="N193" s="335">
        <v>3515393.1</v>
      </c>
      <c r="O193" s="335">
        <v>3517227.2</v>
      </c>
      <c r="P193" s="335">
        <v>4192197.4</v>
      </c>
      <c r="Q193" s="335">
        <v>4650658.8</v>
      </c>
      <c r="R193" s="335">
        <v>4488511.6</v>
      </c>
    </row>
    <row r="194" spans="4:18" ht="15">
      <c r="D194" s="20" t="s">
        <v>433</v>
      </c>
      <c r="E194" s="21" t="s">
        <v>907</v>
      </c>
      <c r="F194" s="20" t="s">
        <v>686</v>
      </c>
      <c r="G194" s="20" t="s">
        <v>686</v>
      </c>
      <c r="H194" s="20" t="s">
        <v>3512</v>
      </c>
      <c r="I194" s="335">
        <v>49590115.5</v>
      </c>
      <c r="J194" s="335">
        <v>61571026.3</v>
      </c>
      <c r="K194" s="335">
        <v>62780141.8</v>
      </c>
      <c r="L194" s="335">
        <v>57977280.4</v>
      </c>
      <c r="M194" s="335">
        <v>59084060.1</v>
      </c>
      <c r="N194" s="335">
        <v>58363229.4</v>
      </c>
      <c r="O194" s="335">
        <v>57684467.7</v>
      </c>
      <c r="P194" s="335">
        <v>70471795.9</v>
      </c>
      <c r="Q194" s="335">
        <v>74192105.3</v>
      </c>
      <c r="R194" s="335">
        <v>72098633.9</v>
      </c>
    </row>
    <row r="195" spans="4:18" ht="15">
      <c r="D195" s="20" t="s">
        <v>3052</v>
      </c>
      <c r="E195" s="21" t="s">
        <v>908</v>
      </c>
      <c r="F195" s="20" t="s">
        <v>686</v>
      </c>
      <c r="G195" s="20" t="s">
        <v>3051</v>
      </c>
      <c r="H195" s="20" t="s">
        <v>3513</v>
      </c>
      <c r="I195" s="335">
        <v>19020722.7</v>
      </c>
      <c r="J195" s="335">
        <v>23661226.7</v>
      </c>
      <c r="K195" s="335">
        <v>23695035.9</v>
      </c>
      <c r="L195" s="335">
        <v>20923344.4</v>
      </c>
      <c r="M195" s="335">
        <v>22472843.8</v>
      </c>
      <c r="N195" s="335">
        <v>21509439.8</v>
      </c>
      <c r="O195" s="335">
        <v>21238606.8</v>
      </c>
      <c r="P195" s="335">
        <v>27661028.8</v>
      </c>
      <c r="Q195" s="335">
        <v>30495466.8</v>
      </c>
      <c r="R195" s="335">
        <v>27209437.5</v>
      </c>
    </row>
    <row r="196" spans="4:18" ht="15">
      <c r="D196" s="28" t="s">
        <v>3052</v>
      </c>
      <c r="E196" s="21" t="s">
        <v>909</v>
      </c>
      <c r="F196" s="20" t="s">
        <v>686</v>
      </c>
      <c r="G196" s="28" t="s">
        <v>3053</v>
      </c>
      <c r="H196" s="20" t="s">
        <v>3514</v>
      </c>
      <c r="I196" s="335">
        <v>19020722.7</v>
      </c>
      <c r="J196" s="335">
        <v>23661226.7</v>
      </c>
      <c r="K196" s="335">
        <v>23695035.9</v>
      </c>
      <c r="L196" s="335">
        <v>20923344.4</v>
      </c>
      <c r="M196" s="335">
        <v>22472843.8</v>
      </c>
      <c r="N196" s="335">
        <v>21509439.8</v>
      </c>
      <c r="O196" s="335">
        <v>21238606.8</v>
      </c>
      <c r="P196" s="335">
        <v>27661028.8</v>
      </c>
      <c r="Q196" s="335">
        <v>30495466.8</v>
      </c>
      <c r="R196" s="335">
        <v>27209437.5</v>
      </c>
    </row>
    <row r="197" spans="4:18" ht="15">
      <c r="D197" s="20" t="s">
        <v>3055</v>
      </c>
      <c r="E197" s="21" t="s">
        <v>910</v>
      </c>
      <c r="F197" s="20" t="s">
        <v>686</v>
      </c>
      <c r="G197" s="20" t="s">
        <v>3054</v>
      </c>
      <c r="H197" s="20" t="s">
        <v>3515</v>
      </c>
      <c r="I197" s="335">
        <v>1850585.7</v>
      </c>
      <c r="J197" s="335">
        <v>2180608.1</v>
      </c>
      <c r="K197" s="335">
        <v>2624037.2</v>
      </c>
      <c r="L197" s="335">
        <v>2467950.4</v>
      </c>
      <c r="M197" s="335">
        <v>2538782</v>
      </c>
      <c r="N197" s="335">
        <v>2504090.5</v>
      </c>
      <c r="O197" s="335">
        <v>2540811.3</v>
      </c>
      <c r="P197" s="335">
        <v>3055552.7</v>
      </c>
      <c r="Q197" s="335">
        <v>3382436.1</v>
      </c>
      <c r="R197" s="335">
        <v>3453097.6</v>
      </c>
    </row>
    <row r="198" spans="4:18" ht="15">
      <c r="D198" s="28" t="s">
        <v>3055</v>
      </c>
      <c r="E198" s="21" t="s">
        <v>911</v>
      </c>
      <c r="F198" s="20" t="s">
        <v>686</v>
      </c>
      <c r="G198" s="28" t="s">
        <v>3056</v>
      </c>
      <c r="H198" s="20" t="s">
        <v>3516</v>
      </c>
      <c r="I198" s="335">
        <v>1850585.7</v>
      </c>
      <c r="J198" s="335">
        <v>2180608.1</v>
      </c>
      <c r="K198" s="335">
        <v>2624037.2</v>
      </c>
      <c r="L198" s="335">
        <v>2467950.4</v>
      </c>
      <c r="M198" s="335">
        <v>2538782</v>
      </c>
      <c r="N198" s="335">
        <v>2504090.5</v>
      </c>
      <c r="O198" s="335">
        <v>2540811.3</v>
      </c>
      <c r="P198" s="335">
        <v>3055552.7</v>
      </c>
      <c r="Q198" s="335">
        <v>3382436.1</v>
      </c>
      <c r="R198" s="335">
        <v>3453097.6</v>
      </c>
    </row>
    <row r="199" spans="4:18" ht="15">
      <c r="D199" s="20" t="s">
        <v>3058</v>
      </c>
      <c r="E199" s="21" t="s">
        <v>912</v>
      </c>
      <c r="F199" s="20" t="s">
        <v>686</v>
      </c>
      <c r="G199" s="20" t="s">
        <v>3057</v>
      </c>
      <c r="H199" s="20" t="s">
        <v>3517</v>
      </c>
      <c r="I199" s="335">
        <v>4670188.8</v>
      </c>
      <c r="J199" s="335">
        <v>5995592.3</v>
      </c>
      <c r="K199" s="335">
        <v>5916148.6</v>
      </c>
      <c r="L199" s="335">
        <v>5938541</v>
      </c>
      <c r="M199" s="335">
        <v>6331717.7</v>
      </c>
      <c r="N199" s="335">
        <v>6275093.1</v>
      </c>
      <c r="O199" s="335">
        <v>6759374.1</v>
      </c>
      <c r="P199" s="335">
        <v>8069844.1</v>
      </c>
      <c r="Q199" s="335">
        <v>8551713.6</v>
      </c>
      <c r="R199" s="335">
        <v>8401907.5</v>
      </c>
    </row>
    <row r="200" spans="4:18" ht="15">
      <c r="D200" s="28" t="s">
        <v>3060</v>
      </c>
      <c r="E200" s="21" t="s">
        <v>913</v>
      </c>
      <c r="F200" s="20" t="s">
        <v>686</v>
      </c>
      <c r="G200" s="28" t="s">
        <v>3059</v>
      </c>
      <c r="H200" s="20" t="s">
        <v>3518</v>
      </c>
      <c r="I200" s="335">
        <v>274006.1</v>
      </c>
      <c r="J200" s="335">
        <v>502865.9</v>
      </c>
      <c r="K200" s="335">
        <v>501319.1</v>
      </c>
      <c r="L200" s="335">
        <v>512932.7</v>
      </c>
      <c r="M200" s="335">
        <v>513694.5</v>
      </c>
      <c r="N200" s="335">
        <v>498270.6</v>
      </c>
      <c r="O200" s="335">
        <v>532378.5</v>
      </c>
      <c r="P200" s="335">
        <v>784367.9</v>
      </c>
      <c r="Q200" s="335">
        <v>812374.4</v>
      </c>
      <c r="R200" s="335">
        <v>670323.2</v>
      </c>
    </row>
    <row r="201" spans="4:18" ht="15">
      <c r="D201" s="28" t="s">
        <v>3062</v>
      </c>
      <c r="E201" s="21" t="s">
        <v>914</v>
      </c>
      <c r="F201" s="20" t="s">
        <v>686</v>
      </c>
      <c r="G201" s="28" t="s">
        <v>3061</v>
      </c>
      <c r="H201" s="20" t="s">
        <v>3519</v>
      </c>
      <c r="I201" s="335">
        <v>1303852</v>
      </c>
      <c r="J201" s="335">
        <v>1617667.7</v>
      </c>
      <c r="K201" s="335">
        <v>1451572</v>
      </c>
      <c r="L201" s="335">
        <v>1338545.4</v>
      </c>
      <c r="M201" s="335">
        <v>1422572.6</v>
      </c>
      <c r="N201" s="335">
        <v>1421683.7</v>
      </c>
      <c r="O201" s="335">
        <v>1645228.9</v>
      </c>
      <c r="P201" s="335">
        <v>1986602.7</v>
      </c>
      <c r="Q201" s="335">
        <v>2159540.7</v>
      </c>
      <c r="R201" s="335">
        <v>1977885.9</v>
      </c>
    </row>
    <row r="202" spans="4:18" ht="15">
      <c r="D202" s="28" t="s">
        <v>3064</v>
      </c>
      <c r="E202" s="21" t="s">
        <v>915</v>
      </c>
      <c r="F202" s="20" t="s">
        <v>686</v>
      </c>
      <c r="G202" s="28" t="s">
        <v>3063</v>
      </c>
      <c r="H202" s="20" t="s">
        <v>3520</v>
      </c>
      <c r="I202" s="335">
        <v>2594430.6</v>
      </c>
      <c r="J202" s="335">
        <v>3266164.3</v>
      </c>
      <c r="K202" s="335">
        <v>3343076.1</v>
      </c>
      <c r="L202" s="335">
        <v>3428614.6</v>
      </c>
      <c r="M202" s="335">
        <v>3698220</v>
      </c>
      <c r="N202" s="335">
        <v>3673098.9</v>
      </c>
      <c r="O202" s="335">
        <v>3895000.8</v>
      </c>
      <c r="P202" s="335">
        <v>4555944.7</v>
      </c>
      <c r="Q202" s="335">
        <v>4771988</v>
      </c>
      <c r="R202" s="335">
        <v>4965255.4</v>
      </c>
    </row>
    <row r="203" spans="4:18" ht="15">
      <c r="D203" s="28" t="s">
        <v>3066</v>
      </c>
      <c r="E203" s="21" t="s">
        <v>916</v>
      </c>
      <c r="F203" s="20" t="s">
        <v>686</v>
      </c>
      <c r="G203" s="28" t="s">
        <v>3065</v>
      </c>
      <c r="H203" s="20" t="s">
        <v>3521</v>
      </c>
      <c r="I203" s="335">
        <v>497900.1</v>
      </c>
      <c r="J203" s="335">
        <v>608894.4</v>
      </c>
      <c r="K203" s="335">
        <v>620181.4</v>
      </c>
      <c r="L203" s="335">
        <v>658448.3</v>
      </c>
      <c r="M203" s="335">
        <v>697230.6</v>
      </c>
      <c r="N203" s="335">
        <v>682039.9</v>
      </c>
      <c r="O203" s="335">
        <v>686765.9</v>
      </c>
      <c r="P203" s="335">
        <v>742928.8</v>
      </c>
      <c r="Q203" s="335">
        <v>807810.5</v>
      </c>
      <c r="R203" s="335">
        <v>788443</v>
      </c>
    </row>
    <row r="204" spans="4:18" ht="15">
      <c r="D204" s="20" t="s">
        <v>3068</v>
      </c>
      <c r="E204" s="21" t="s">
        <v>917</v>
      </c>
      <c r="F204" s="20" t="s">
        <v>686</v>
      </c>
      <c r="G204" s="20" t="s">
        <v>3067</v>
      </c>
      <c r="H204" s="20" t="s">
        <v>3522</v>
      </c>
      <c r="I204" s="335">
        <v>22464036.6</v>
      </c>
      <c r="J204" s="335">
        <v>27840052.7</v>
      </c>
      <c r="K204" s="335">
        <v>28596600.6</v>
      </c>
      <c r="L204" s="335">
        <v>26873822.9</v>
      </c>
      <c r="M204" s="335">
        <v>25962107.1</v>
      </c>
      <c r="N204" s="335">
        <v>26122800.4</v>
      </c>
      <c r="O204" s="335">
        <v>25178493.8</v>
      </c>
      <c r="P204" s="335">
        <v>29655581.8</v>
      </c>
      <c r="Q204" s="335">
        <v>29575281.5</v>
      </c>
      <c r="R204" s="335">
        <v>30902919</v>
      </c>
    </row>
    <row r="205" spans="4:18" ht="15">
      <c r="D205" s="28" t="s">
        <v>3070</v>
      </c>
      <c r="E205" s="21" t="s">
        <v>918</v>
      </c>
      <c r="F205" s="20" t="s">
        <v>686</v>
      </c>
      <c r="G205" s="28" t="s">
        <v>3069</v>
      </c>
      <c r="H205" s="20" t="s">
        <v>3523</v>
      </c>
      <c r="I205" s="336" t="s">
        <v>2740</v>
      </c>
      <c r="J205" s="335" t="s">
        <v>2740</v>
      </c>
      <c r="K205" s="335" t="s">
        <v>2740</v>
      </c>
      <c r="L205" s="335" t="s">
        <v>2740</v>
      </c>
      <c r="M205" s="335" t="s">
        <v>2740</v>
      </c>
      <c r="N205" s="335" t="s">
        <v>2740</v>
      </c>
      <c r="O205" s="335">
        <v>3231190.2</v>
      </c>
      <c r="P205" s="335">
        <v>3056548.4</v>
      </c>
      <c r="Q205" s="335">
        <v>2530342.7</v>
      </c>
      <c r="R205" s="335">
        <v>3385353.5</v>
      </c>
    </row>
    <row r="206" spans="4:18" ht="15">
      <c r="D206" s="28" t="s">
        <v>3072</v>
      </c>
      <c r="E206" s="21" t="s">
        <v>919</v>
      </c>
      <c r="F206" s="20" t="s">
        <v>686</v>
      </c>
      <c r="G206" s="28" t="s">
        <v>3071</v>
      </c>
      <c r="H206" s="20" t="s">
        <v>3524</v>
      </c>
      <c r="I206" s="335">
        <v>3796425.3</v>
      </c>
      <c r="J206" s="335">
        <v>4565716.1</v>
      </c>
      <c r="K206" s="335">
        <v>4714792.5</v>
      </c>
      <c r="L206" s="335">
        <v>5145551.7</v>
      </c>
      <c r="M206" s="335">
        <v>5834113.6</v>
      </c>
      <c r="N206" s="335">
        <v>6527963.6</v>
      </c>
      <c r="O206" s="335">
        <v>6925641.6</v>
      </c>
      <c r="P206" s="335">
        <v>8931415.6</v>
      </c>
      <c r="Q206" s="335">
        <v>9669694.8</v>
      </c>
      <c r="R206" s="335">
        <v>8906989.9</v>
      </c>
    </row>
    <row r="207" spans="4:18" ht="15">
      <c r="D207" s="28" t="s">
        <v>3074</v>
      </c>
      <c r="E207" s="21" t="s">
        <v>920</v>
      </c>
      <c r="F207" s="20" t="s">
        <v>686</v>
      </c>
      <c r="G207" s="28" t="s">
        <v>3073</v>
      </c>
      <c r="H207" s="20" t="s">
        <v>3525</v>
      </c>
      <c r="I207" s="335">
        <v>1966586.5</v>
      </c>
      <c r="J207" s="335">
        <v>2387238.4</v>
      </c>
      <c r="K207" s="335">
        <v>2532810.5</v>
      </c>
      <c r="L207" s="335">
        <v>2652033.7</v>
      </c>
      <c r="M207" s="335">
        <v>2632125.6</v>
      </c>
      <c r="N207" s="335">
        <v>2946019.6</v>
      </c>
      <c r="O207" s="335">
        <v>3290890.4</v>
      </c>
      <c r="P207" s="335">
        <v>4045220</v>
      </c>
      <c r="Q207" s="335">
        <v>3905316.9</v>
      </c>
      <c r="R207" s="335">
        <v>3661244.1</v>
      </c>
    </row>
    <row r="208" spans="4:18" ht="15">
      <c r="D208" s="28" t="s">
        <v>3076</v>
      </c>
      <c r="E208" s="21" t="s">
        <v>921</v>
      </c>
      <c r="F208" s="20" t="s">
        <v>686</v>
      </c>
      <c r="G208" s="28" t="s">
        <v>3075</v>
      </c>
      <c r="H208" s="20" t="s">
        <v>3526</v>
      </c>
      <c r="I208" s="336" t="s">
        <v>2740</v>
      </c>
      <c r="J208" s="335" t="s">
        <v>2740</v>
      </c>
      <c r="K208" s="335" t="s">
        <v>2740</v>
      </c>
      <c r="L208" s="335" t="s">
        <v>2740</v>
      </c>
      <c r="M208" s="335" t="s">
        <v>2740</v>
      </c>
      <c r="N208" s="335" t="s">
        <v>2740</v>
      </c>
      <c r="O208" s="335">
        <v>11708009.4</v>
      </c>
      <c r="P208" s="335">
        <v>13595217.4</v>
      </c>
      <c r="Q208" s="335">
        <v>13438222.5</v>
      </c>
      <c r="R208" s="335">
        <v>14923155.2</v>
      </c>
    </row>
    <row r="209" spans="4:18" ht="15">
      <c r="D209" s="28" t="s">
        <v>3078</v>
      </c>
      <c r="E209" s="21" t="s">
        <v>922</v>
      </c>
      <c r="F209" s="20" t="s">
        <v>686</v>
      </c>
      <c r="G209" s="28" t="s">
        <v>3077</v>
      </c>
      <c r="H209" s="20" t="s">
        <v>3527</v>
      </c>
      <c r="I209" s="335">
        <v>43909.9</v>
      </c>
      <c r="J209" s="335">
        <v>71229.7</v>
      </c>
      <c r="K209" s="335">
        <v>17881.7</v>
      </c>
      <c r="L209" s="335">
        <v>44342.6</v>
      </c>
      <c r="M209" s="335">
        <v>10493.9</v>
      </c>
      <c r="N209" s="335">
        <v>13931.7</v>
      </c>
      <c r="O209" s="335">
        <v>22762.2</v>
      </c>
      <c r="P209" s="335">
        <v>27180.4</v>
      </c>
      <c r="Q209" s="335">
        <v>31704.6</v>
      </c>
      <c r="R209" s="335">
        <v>26176.3</v>
      </c>
    </row>
    <row r="210" spans="4:18" ht="15">
      <c r="D210" s="20" t="s">
        <v>3080</v>
      </c>
      <c r="E210" s="21" t="s">
        <v>923</v>
      </c>
      <c r="F210" s="20" t="s">
        <v>686</v>
      </c>
      <c r="G210" s="20" t="s">
        <v>3079</v>
      </c>
      <c r="H210" s="20" t="s">
        <v>3528</v>
      </c>
      <c r="I210" s="335">
        <v>1584581.7</v>
      </c>
      <c r="J210" s="335">
        <v>1893546.5</v>
      </c>
      <c r="K210" s="335">
        <v>1948319.5</v>
      </c>
      <c r="L210" s="335">
        <v>1773621.7</v>
      </c>
      <c r="M210" s="335">
        <v>1778609.5</v>
      </c>
      <c r="N210" s="335">
        <v>1951805.6</v>
      </c>
      <c r="O210" s="335">
        <v>1967181.7</v>
      </c>
      <c r="P210" s="335">
        <v>2029788.5</v>
      </c>
      <c r="Q210" s="335">
        <v>2187207.3</v>
      </c>
      <c r="R210" s="335">
        <v>2131272.3</v>
      </c>
    </row>
    <row r="211" spans="4:18" ht="15">
      <c r="D211" s="28" t="s">
        <v>3082</v>
      </c>
      <c r="E211" s="21" t="s">
        <v>924</v>
      </c>
      <c r="F211" s="20" t="s">
        <v>686</v>
      </c>
      <c r="G211" s="28" t="s">
        <v>3081</v>
      </c>
      <c r="H211" s="20" t="s">
        <v>3529</v>
      </c>
      <c r="I211" s="335">
        <v>886074.8</v>
      </c>
      <c r="J211" s="335">
        <v>1140587.3</v>
      </c>
      <c r="K211" s="335">
        <v>1096534.7</v>
      </c>
      <c r="L211" s="335">
        <v>1012404.6</v>
      </c>
      <c r="M211" s="335">
        <v>1010616</v>
      </c>
      <c r="N211" s="335">
        <v>1140439.6</v>
      </c>
      <c r="O211" s="335">
        <v>1117696.1</v>
      </c>
      <c r="P211" s="335">
        <v>1145302.9</v>
      </c>
      <c r="Q211" s="335">
        <v>1215130</v>
      </c>
      <c r="R211" s="335">
        <v>1163290.3</v>
      </c>
    </row>
    <row r="212" spans="4:18" ht="15">
      <c r="D212" s="28" t="s">
        <v>3084</v>
      </c>
      <c r="E212" s="21" t="s">
        <v>925</v>
      </c>
      <c r="F212" s="20" t="s">
        <v>686</v>
      </c>
      <c r="G212" s="28" t="s">
        <v>3083</v>
      </c>
      <c r="H212" s="20" t="s">
        <v>3530</v>
      </c>
      <c r="I212" s="335">
        <v>507503.2</v>
      </c>
      <c r="J212" s="335">
        <v>396271.4</v>
      </c>
      <c r="K212" s="335">
        <v>430156.1</v>
      </c>
      <c r="L212" s="335">
        <v>376733</v>
      </c>
      <c r="M212" s="335">
        <v>370743.3</v>
      </c>
      <c r="N212" s="335">
        <v>355113.4</v>
      </c>
      <c r="O212" s="335">
        <v>308800.4</v>
      </c>
      <c r="P212" s="335">
        <v>328260.5</v>
      </c>
      <c r="Q212" s="335">
        <v>368938.8</v>
      </c>
      <c r="R212" s="335">
        <v>384982.7</v>
      </c>
    </row>
    <row r="213" spans="4:18" ht="15">
      <c r="D213" s="28" t="s">
        <v>3086</v>
      </c>
      <c r="E213" s="21" t="s">
        <v>926</v>
      </c>
      <c r="F213" s="20" t="s">
        <v>686</v>
      </c>
      <c r="G213" s="28" t="s">
        <v>3085</v>
      </c>
      <c r="H213" s="20" t="s">
        <v>3531</v>
      </c>
      <c r="I213" s="335">
        <v>144034.6</v>
      </c>
      <c r="J213" s="335">
        <v>198901.3</v>
      </c>
      <c r="K213" s="335">
        <v>222472.6</v>
      </c>
      <c r="L213" s="335">
        <v>207375.9</v>
      </c>
      <c r="M213" s="335">
        <v>204865.3</v>
      </c>
      <c r="N213" s="335">
        <v>235288.1</v>
      </c>
      <c r="O213" s="335">
        <v>314985.5</v>
      </c>
      <c r="P213" s="335">
        <v>381282.8</v>
      </c>
      <c r="Q213" s="335">
        <v>398665.2</v>
      </c>
      <c r="R213" s="335">
        <v>354312.8</v>
      </c>
    </row>
    <row r="214" spans="4:18" ht="15">
      <c r="D214" s="28" t="s">
        <v>3088</v>
      </c>
      <c r="E214" s="21" t="s">
        <v>927</v>
      </c>
      <c r="F214" s="20" t="s">
        <v>686</v>
      </c>
      <c r="G214" s="28" t="s">
        <v>3087</v>
      </c>
      <c r="H214" s="20" t="s">
        <v>3532</v>
      </c>
      <c r="I214" s="335">
        <v>46969.1</v>
      </c>
      <c r="J214" s="335">
        <v>157786.5</v>
      </c>
      <c r="K214" s="335">
        <v>199156.1</v>
      </c>
      <c r="L214" s="335">
        <v>177108.2</v>
      </c>
      <c r="M214" s="335">
        <v>192384.9</v>
      </c>
      <c r="N214" s="335">
        <v>220964.5</v>
      </c>
      <c r="O214" s="335">
        <v>225699.7</v>
      </c>
      <c r="P214" s="335">
        <v>174942.3</v>
      </c>
      <c r="Q214" s="335">
        <v>204473.3</v>
      </c>
      <c r="R214" s="335">
        <v>228686.5</v>
      </c>
    </row>
    <row r="215" spans="4:18" ht="15">
      <c r="D215" s="20" t="s">
        <v>464</v>
      </c>
      <c r="E215" s="21" t="s">
        <v>928</v>
      </c>
      <c r="F215" s="20" t="s">
        <v>687</v>
      </c>
      <c r="G215" s="20" t="s">
        <v>687</v>
      </c>
      <c r="H215" s="20" t="s">
        <v>3533</v>
      </c>
      <c r="I215" s="335">
        <v>40735847.8</v>
      </c>
      <c r="J215" s="335">
        <v>47363976.8</v>
      </c>
      <c r="K215" s="335">
        <v>49614016.5</v>
      </c>
      <c r="L215" s="335">
        <v>48015167.9</v>
      </c>
      <c r="M215" s="335">
        <v>51023072.8</v>
      </c>
      <c r="N215" s="335">
        <v>54528226.5</v>
      </c>
      <c r="O215" s="335">
        <v>57067566.7</v>
      </c>
      <c r="P215" s="335">
        <v>62534704.4</v>
      </c>
      <c r="Q215" s="335">
        <v>67774940.3</v>
      </c>
      <c r="R215" s="335">
        <v>70728954.3</v>
      </c>
    </row>
    <row r="216" spans="4:18" ht="15">
      <c r="D216" s="20" t="s">
        <v>3090</v>
      </c>
      <c r="E216" s="21" t="s">
        <v>929</v>
      </c>
      <c r="F216" s="20" t="s">
        <v>687</v>
      </c>
      <c r="G216" s="20" t="s">
        <v>3089</v>
      </c>
      <c r="H216" s="20" t="s">
        <v>3534</v>
      </c>
      <c r="I216" s="335">
        <v>14715033.9</v>
      </c>
      <c r="J216" s="335">
        <v>17733702.2</v>
      </c>
      <c r="K216" s="335">
        <v>18510150.3</v>
      </c>
      <c r="L216" s="335">
        <v>16885230.9</v>
      </c>
      <c r="M216" s="335">
        <v>18624206</v>
      </c>
      <c r="N216" s="335">
        <v>19571265.4</v>
      </c>
      <c r="O216" s="335">
        <v>20475117.4</v>
      </c>
      <c r="P216" s="335">
        <v>22019613.5</v>
      </c>
      <c r="Q216" s="335">
        <v>23663517.1</v>
      </c>
      <c r="R216" s="335">
        <v>24785674.3</v>
      </c>
    </row>
    <row r="217" spans="4:18" ht="15">
      <c r="D217" s="28" t="s">
        <v>3092</v>
      </c>
      <c r="E217" s="21" t="s">
        <v>930</v>
      </c>
      <c r="F217" s="20" t="s">
        <v>687</v>
      </c>
      <c r="G217" s="28" t="s">
        <v>3091</v>
      </c>
      <c r="H217" s="20" t="s">
        <v>3535</v>
      </c>
      <c r="I217" s="335">
        <v>13008101.8</v>
      </c>
      <c r="J217" s="335">
        <v>15854090.2</v>
      </c>
      <c r="K217" s="335">
        <v>16531955.3</v>
      </c>
      <c r="L217" s="335">
        <v>15061251.5</v>
      </c>
      <c r="M217" s="335">
        <v>16616755.5</v>
      </c>
      <c r="N217" s="335">
        <v>17033647.6</v>
      </c>
      <c r="O217" s="335">
        <v>17757572.5</v>
      </c>
      <c r="P217" s="335">
        <v>19126731.3</v>
      </c>
      <c r="Q217" s="335">
        <v>20434410.6</v>
      </c>
      <c r="R217" s="335">
        <v>21182874.5</v>
      </c>
    </row>
    <row r="218" spans="4:18" ht="15">
      <c r="D218" s="28" t="s">
        <v>3094</v>
      </c>
      <c r="E218" s="21" t="s">
        <v>931</v>
      </c>
      <c r="F218" s="20" t="s">
        <v>687</v>
      </c>
      <c r="G218" s="28" t="s">
        <v>3093</v>
      </c>
      <c r="H218" s="20" t="s">
        <v>3536</v>
      </c>
      <c r="I218" s="335">
        <v>1706932.1</v>
      </c>
      <c r="J218" s="335">
        <v>1879612</v>
      </c>
      <c r="K218" s="335">
        <v>1978195</v>
      </c>
      <c r="L218" s="335">
        <v>1823979.4</v>
      </c>
      <c r="M218" s="335">
        <v>2007450.5</v>
      </c>
      <c r="N218" s="335">
        <v>2537617.8</v>
      </c>
      <c r="O218" s="335">
        <v>2717544.9</v>
      </c>
      <c r="P218" s="335">
        <v>2892882.2</v>
      </c>
      <c r="Q218" s="335">
        <v>3229106.5</v>
      </c>
      <c r="R218" s="335">
        <v>3602799.8</v>
      </c>
    </row>
    <row r="219" spans="4:18" ht="15">
      <c r="D219" s="20" t="s">
        <v>3096</v>
      </c>
      <c r="E219" s="21" t="s">
        <v>932</v>
      </c>
      <c r="F219" s="20" t="s">
        <v>687</v>
      </c>
      <c r="G219" s="20" t="s">
        <v>3095</v>
      </c>
      <c r="H219" s="20" t="s">
        <v>3537</v>
      </c>
      <c r="I219" s="335">
        <v>3778108.1</v>
      </c>
      <c r="J219" s="335">
        <v>4328139.3</v>
      </c>
      <c r="K219" s="335">
        <v>4767193.3</v>
      </c>
      <c r="L219" s="335">
        <v>4665299</v>
      </c>
      <c r="M219" s="335">
        <v>4722731.1</v>
      </c>
      <c r="N219" s="335">
        <v>5000561.2</v>
      </c>
      <c r="O219" s="335">
        <v>5098813.8</v>
      </c>
      <c r="P219" s="335">
        <v>5544699.1</v>
      </c>
      <c r="Q219" s="335">
        <v>5925201.8</v>
      </c>
      <c r="R219" s="335">
        <v>6289622.2</v>
      </c>
    </row>
    <row r="220" spans="4:18" ht="15">
      <c r="D220" s="28" t="s">
        <v>3098</v>
      </c>
      <c r="E220" s="21" t="s">
        <v>933</v>
      </c>
      <c r="F220" s="20" t="s">
        <v>687</v>
      </c>
      <c r="G220" s="28" t="s">
        <v>3097</v>
      </c>
      <c r="H220" s="20" t="s">
        <v>3538</v>
      </c>
      <c r="I220" s="335">
        <v>2280538.4</v>
      </c>
      <c r="J220" s="335">
        <v>2443252.9</v>
      </c>
      <c r="K220" s="335">
        <v>2523274</v>
      </c>
      <c r="L220" s="335">
        <v>2465420.6</v>
      </c>
      <c r="M220" s="335">
        <v>2468747.7</v>
      </c>
      <c r="N220" s="335">
        <v>2566227.1</v>
      </c>
      <c r="O220" s="335">
        <v>2716208.2</v>
      </c>
      <c r="P220" s="335">
        <v>2925262.6</v>
      </c>
      <c r="Q220" s="335">
        <v>2989694.6</v>
      </c>
      <c r="R220" s="335">
        <v>3034099.7</v>
      </c>
    </row>
    <row r="221" spans="4:18" ht="15">
      <c r="D221" s="28" t="s">
        <v>3100</v>
      </c>
      <c r="E221" s="21" t="s">
        <v>934</v>
      </c>
      <c r="F221" s="20" t="s">
        <v>687</v>
      </c>
      <c r="G221" s="28" t="s">
        <v>3099</v>
      </c>
      <c r="H221" s="20" t="s">
        <v>3539</v>
      </c>
      <c r="I221" s="335">
        <v>1497569.7</v>
      </c>
      <c r="J221" s="335">
        <v>1884886.4</v>
      </c>
      <c r="K221" s="335">
        <v>2243919.3</v>
      </c>
      <c r="L221" s="335">
        <v>2199878.4</v>
      </c>
      <c r="M221" s="335">
        <v>2253983.4</v>
      </c>
      <c r="N221" s="335">
        <v>2434334.1</v>
      </c>
      <c r="O221" s="335">
        <v>2382605.6</v>
      </c>
      <c r="P221" s="335">
        <v>2619436.5</v>
      </c>
      <c r="Q221" s="335">
        <v>2935507.2</v>
      </c>
      <c r="R221" s="335">
        <v>3255522.5</v>
      </c>
    </row>
    <row r="222" spans="4:18" ht="15">
      <c r="D222" s="20" t="s">
        <v>3102</v>
      </c>
      <c r="E222" s="21" t="s">
        <v>935</v>
      </c>
      <c r="F222" s="20" t="s">
        <v>687</v>
      </c>
      <c r="G222" s="20" t="s">
        <v>3101</v>
      </c>
      <c r="H222" s="20" t="s">
        <v>3540</v>
      </c>
      <c r="I222" s="335">
        <v>1136340.5</v>
      </c>
      <c r="J222" s="335">
        <v>1399914.8</v>
      </c>
      <c r="K222" s="335">
        <v>1120445.8</v>
      </c>
      <c r="L222" s="335">
        <v>719277.7</v>
      </c>
      <c r="M222" s="335">
        <v>841621.8</v>
      </c>
      <c r="N222" s="335">
        <v>994700.7</v>
      </c>
      <c r="O222" s="335">
        <v>1793293.4</v>
      </c>
      <c r="P222" s="335">
        <v>1809126.1</v>
      </c>
      <c r="Q222" s="335">
        <v>886986.1</v>
      </c>
      <c r="R222" s="335">
        <v>997046</v>
      </c>
    </row>
    <row r="223" spans="4:18" ht="15">
      <c r="D223" s="28" t="s">
        <v>3102</v>
      </c>
      <c r="E223" s="21" t="s">
        <v>936</v>
      </c>
      <c r="F223" s="20" t="s">
        <v>687</v>
      </c>
      <c r="G223" s="28" t="s">
        <v>3103</v>
      </c>
      <c r="H223" s="20" t="s">
        <v>3541</v>
      </c>
      <c r="I223" s="335">
        <v>1136340.5</v>
      </c>
      <c r="J223" s="335">
        <v>1399914.8</v>
      </c>
      <c r="K223" s="335">
        <v>1120445.8</v>
      </c>
      <c r="L223" s="335">
        <v>719277.7</v>
      </c>
      <c r="M223" s="335">
        <v>841621.8</v>
      </c>
      <c r="N223" s="335">
        <v>994700.7</v>
      </c>
      <c r="O223" s="335">
        <v>1793293.4</v>
      </c>
      <c r="P223" s="335">
        <v>1809126.1</v>
      </c>
      <c r="Q223" s="335">
        <v>886986.1</v>
      </c>
      <c r="R223" s="335">
        <v>997046</v>
      </c>
    </row>
    <row r="224" spans="4:18" ht="15">
      <c r="D224" s="20" t="s">
        <v>3105</v>
      </c>
      <c r="E224" s="21" t="s">
        <v>937</v>
      </c>
      <c r="F224" s="20" t="s">
        <v>687</v>
      </c>
      <c r="G224" s="20" t="s">
        <v>3104</v>
      </c>
      <c r="H224" s="20" t="s">
        <v>3542</v>
      </c>
      <c r="I224" s="335">
        <v>1125747.7</v>
      </c>
      <c r="J224" s="335">
        <v>682892.6</v>
      </c>
      <c r="K224" s="335">
        <v>528560.8</v>
      </c>
      <c r="L224" s="335">
        <v>604501.6</v>
      </c>
      <c r="M224" s="335">
        <v>570367.4</v>
      </c>
      <c r="N224" s="335">
        <v>783765</v>
      </c>
      <c r="O224" s="335">
        <v>920810.2</v>
      </c>
      <c r="P224" s="335">
        <v>1433522.5</v>
      </c>
      <c r="Q224" s="335">
        <v>1798704.9</v>
      </c>
      <c r="R224" s="335">
        <v>2136868.4</v>
      </c>
    </row>
    <row r="225" spans="4:18" ht="15">
      <c r="D225" s="28" t="s">
        <v>3105</v>
      </c>
      <c r="E225" s="21" t="s">
        <v>938</v>
      </c>
      <c r="F225" s="20" t="s">
        <v>687</v>
      </c>
      <c r="G225" s="28" t="s">
        <v>3106</v>
      </c>
      <c r="H225" s="20" t="s">
        <v>3543</v>
      </c>
      <c r="I225" s="335">
        <v>1125747.7</v>
      </c>
      <c r="J225" s="335">
        <v>682892.6</v>
      </c>
      <c r="K225" s="335">
        <v>528560.8</v>
      </c>
      <c r="L225" s="335">
        <v>604501.6</v>
      </c>
      <c r="M225" s="335">
        <v>570367.4</v>
      </c>
      <c r="N225" s="335">
        <v>783765</v>
      </c>
      <c r="O225" s="335">
        <v>920810.2</v>
      </c>
      <c r="P225" s="335">
        <v>1433522.5</v>
      </c>
      <c r="Q225" s="335">
        <v>1798704.9</v>
      </c>
      <c r="R225" s="335">
        <v>2136868.4</v>
      </c>
    </row>
    <row r="226" spans="4:18" ht="15">
      <c r="D226" s="20" t="s">
        <v>3108</v>
      </c>
      <c r="E226" s="21" t="s">
        <v>939</v>
      </c>
      <c r="F226" s="20" t="s">
        <v>687</v>
      </c>
      <c r="G226" s="20" t="s">
        <v>3107</v>
      </c>
      <c r="H226" s="20" t="s">
        <v>3544</v>
      </c>
      <c r="I226" s="335">
        <v>1085873.3</v>
      </c>
      <c r="J226" s="335">
        <v>1525594.7</v>
      </c>
      <c r="K226" s="335">
        <v>1541745.1</v>
      </c>
      <c r="L226" s="335">
        <v>1603494.8</v>
      </c>
      <c r="M226" s="335">
        <v>1649767.4</v>
      </c>
      <c r="N226" s="335">
        <v>1706301.3</v>
      </c>
      <c r="O226" s="335">
        <v>1505855.2</v>
      </c>
      <c r="P226" s="335">
        <v>1665604.9</v>
      </c>
      <c r="Q226" s="335">
        <v>1900550.7</v>
      </c>
      <c r="R226" s="335">
        <v>2283315.3</v>
      </c>
    </row>
    <row r="227" spans="4:18" ht="15">
      <c r="D227" s="28" t="s">
        <v>3110</v>
      </c>
      <c r="E227" s="21" t="s">
        <v>940</v>
      </c>
      <c r="F227" s="20" t="s">
        <v>687</v>
      </c>
      <c r="G227" s="28" t="s">
        <v>3109</v>
      </c>
      <c r="H227" s="20" t="s">
        <v>3545</v>
      </c>
      <c r="I227" s="335">
        <v>1085873.3</v>
      </c>
      <c r="J227" s="335">
        <v>1525594.7</v>
      </c>
      <c r="K227" s="335">
        <v>1541745.1</v>
      </c>
      <c r="L227" s="335">
        <v>1603494.8</v>
      </c>
      <c r="M227" s="335">
        <v>1649767.4</v>
      </c>
      <c r="N227" s="335">
        <v>1706301.3</v>
      </c>
      <c r="O227" s="335">
        <v>1505855.2</v>
      </c>
      <c r="P227" s="335">
        <v>1665604.9</v>
      </c>
      <c r="Q227" s="335">
        <v>1900550.7</v>
      </c>
      <c r="R227" s="335">
        <v>2283315.3</v>
      </c>
    </row>
    <row r="228" spans="4:18" ht="15">
      <c r="D228" s="20" t="s">
        <v>3112</v>
      </c>
      <c r="E228" s="21" t="s">
        <v>941</v>
      </c>
      <c r="F228" s="20" t="s">
        <v>687</v>
      </c>
      <c r="G228" s="20" t="s">
        <v>3111</v>
      </c>
      <c r="H228" s="20" t="s">
        <v>3546</v>
      </c>
      <c r="I228" s="335">
        <v>1801654.3</v>
      </c>
      <c r="J228" s="335">
        <v>2320945.4</v>
      </c>
      <c r="K228" s="335">
        <v>2708785.7</v>
      </c>
      <c r="L228" s="335">
        <v>2662877</v>
      </c>
      <c r="M228" s="335">
        <v>3019438.6</v>
      </c>
      <c r="N228" s="335">
        <v>3248165.2</v>
      </c>
      <c r="O228" s="335">
        <v>3201339.3</v>
      </c>
      <c r="P228" s="335">
        <v>3713595.2</v>
      </c>
      <c r="Q228" s="335">
        <v>5520787.9</v>
      </c>
      <c r="R228" s="335">
        <v>5652788.7</v>
      </c>
    </row>
    <row r="229" spans="4:18" ht="15">
      <c r="D229" s="28" t="s">
        <v>3114</v>
      </c>
      <c r="E229" s="21" t="s">
        <v>942</v>
      </c>
      <c r="F229" s="20" t="s">
        <v>687</v>
      </c>
      <c r="G229" s="28" t="s">
        <v>3113</v>
      </c>
      <c r="H229" s="20" t="s">
        <v>3547</v>
      </c>
      <c r="I229" s="335">
        <v>1801654.3</v>
      </c>
      <c r="J229" s="335">
        <v>2320945.4</v>
      </c>
      <c r="K229" s="335">
        <v>2708785.7</v>
      </c>
      <c r="L229" s="335">
        <v>2662877</v>
      </c>
      <c r="M229" s="335">
        <v>3019438.6</v>
      </c>
      <c r="N229" s="335">
        <v>3248165.2</v>
      </c>
      <c r="O229" s="335">
        <v>3201339.3</v>
      </c>
      <c r="P229" s="335">
        <v>3713595.2</v>
      </c>
      <c r="Q229" s="335">
        <v>5520787.9</v>
      </c>
      <c r="R229" s="335">
        <v>5652788.7</v>
      </c>
    </row>
    <row r="230" spans="4:18" ht="15">
      <c r="D230" s="20" t="s">
        <v>3116</v>
      </c>
      <c r="E230" s="21" t="s">
        <v>943</v>
      </c>
      <c r="F230" s="20" t="s">
        <v>687</v>
      </c>
      <c r="G230" s="20" t="s">
        <v>3115</v>
      </c>
      <c r="H230" s="20" t="s">
        <v>3548</v>
      </c>
      <c r="I230" s="335">
        <v>2383830.1</v>
      </c>
      <c r="J230" s="335">
        <v>2719417.7</v>
      </c>
      <c r="K230" s="335">
        <v>3305733.9</v>
      </c>
      <c r="L230" s="335">
        <v>3603435</v>
      </c>
      <c r="M230" s="335">
        <v>3213852.3</v>
      </c>
      <c r="N230" s="335">
        <v>3977511</v>
      </c>
      <c r="O230" s="335">
        <v>3903360.8</v>
      </c>
      <c r="P230" s="335">
        <v>4137829.8</v>
      </c>
      <c r="Q230" s="335">
        <v>4263097.7</v>
      </c>
      <c r="R230" s="335">
        <v>4285293.5</v>
      </c>
    </row>
    <row r="231" spans="4:18" ht="15">
      <c r="D231" s="28" t="s">
        <v>3118</v>
      </c>
      <c r="E231" s="21" t="s">
        <v>944</v>
      </c>
      <c r="F231" s="20" t="s">
        <v>687</v>
      </c>
      <c r="G231" s="28" t="s">
        <v>3117</v>
      </c>
      <c r="H231" s="20" t="s">
        <v>3549</v>
      </c>
      <c r="I231" s="335">
        <v>32870.8</v>
      </c>
      <c r="J231" s="335">
        <v>31574.6</v>
      </c>
      <c r="K231" s="335">
        <v>31862.2</v>
      </c>
      <c r="L231" s="335">
        <v>11490.7</v>
      </c>
      <c r="M231" s="335">
        <v>13602.5</v>
      </c>
      <c r="N231" s="335">
        <v>13331</v>
      </c>
      <c r="O231" s="335" t="s">
        <v>2740</v>
      </c>
      <c r="P231" s="335">
        <v>13581.9</v>
      </c>
      <c r="Q231" s="335">
        <v>11059</v>
      </c>
      <c r="R231" s="335">
        <v>11385.1</v>
      </c>
    </row>
    <row r="232" spans="4:18" ht="15">
      <c r="D232" s="28" t="s">
        <v>3120</v>
      </c>
      <c r="E232" s="21" t="s">
        <v>945</v>
      </c>
      <c r="F232" s="20" t="s">
        <v>687</v>
      </c>
      <c r="G232" s="28" t="s">
        <v>3119</v>
      </c>
      <c r="H232" s="20" t="s">
        <v>3550</v>
      </c>
      <c r="I232" s="335">
        <v>1025518.8</v>
      </c>
      <c r="J232" s="335">
        <v>1121588.1</v>
      </c>
      <c r="K232" s="335">
        <v>1645602.5</v>
      </c>
      <c r="L232" s="335">
        <v>1818646.5</v>
      </c>
      <c r="M232" s="335">
        <v>1409657.4</v>
      </c>
      <c r="N232" s="335">
        <v>1597154.5</v>
      </c>
      <c r="O232" s="335" t="s">
        <v>2740</v>
      </c>
      <c r="P232" s="335">
        <v>1918144.5</v>
      </c>
      <c r="Q232" s="335">
        <v>1991160.7</v>
      </c>
      <c r="R232" s="335">
        <v>2106971.3</v>
      </c>
    </row>
    <row r="233" spans="4:18" ht="15">
      <c r="D233" s="28" t="s">
        <v>3122</v>
      </c>
      <c r="E233" s="21" t="s">
        <v>946</v>
      </c>
      <c r="F233" s="20" t="s">
        <v>687</v>
      </c>
      <c r="G233" s="28" t="s">
        <v>3121</v>
      </c>
      <c r="H233" s="20" t="s">
        <v>3551</v>
      </c>
      <c r="I233" s="335">
        <v>1325440.5</v>
      </c>
      <c r="J233" s="335">
        <v>1566255</v>
      </c>
      <c r="K233" s="335">
        <v>1628269.2</v>
      </c>
      <c r="L233" s="335">
        <v>1773297.8</v>
      </c>
      <c r="M233" s="335">
        <v>1790592.4</v>
      </c>
      <c r="N233" s="335">
        <v>2367025.5</v>
      </c>
      <c r="O233" s="335">
        <v>2100066.1</v>
      </c>
      <c r="P233" s="335">
        <v>2206103.4</v>
      </c>
      <c r="Q233" s="335">
        <v>2260878</v>
      </c>
      <c r="R233" s="335">
        <v>2166937.1</v>
      </c>
    </row>
    <row r="234" spans="4:18" ht="15">
      <c r="D234" s="20" t="s">
        <v>3124</v>
      </c>
      <c r="E234" s="21" t="s">
        <v>947</v>
      </c>
      <c r="F234" s="20" t="s">
        <v>687</v>
      </c>
      <c r="G234" s="20" t="s">
        <v>3123</v>
      </c>
      <c r="H234" s="20" t="s">
        <v>3552</v>
      </c>
      <c r="I234" s="335">
        <v>14709259.9</v>
      </c>
      <c r="J234" s="335">
        <v>16653370.1</v>
      </c>
      <c r="K234" s="335">
        <v>17131401.6</v>
      </c>
      <c r="L234" s="335">
        <v>17271051.9</v>
      </c>
      <c r="M234" s="335">
        <v>18381088.2</v>
      </c>
      <c r="N234" s="335">
        <v>19245956.7</v>
      </c>
      <c r="O234" s="335">
        <v>20168976.6</v>
      </c>
      <c r="P234" s="335">
        <v>22210713.3</v>
      </c>
      <c r="Q234" s="335">
        <v>23816094.1</v>
      </c>
      <c r="R234" s="335">
        <v>24298345.9</v>
      </c>
    </row>
    <row r="235" spans="4:18" ht="15">
      <c r="D235" s="28" t="s">
        <v>3126</v>
      </c>
      <c r="E235" s="21" t="s">
        <v>948</v>
      </c>
      <c r="F235" s="20" t="s">
        <v>687</v>
      </c>
      <c r="G235" s="28" t="s">
        <v>3125</v>
      </c>
      <c r="H235" s="20" t="s">
        <v>3553</v>
      </c>
      <c r="I235" s="335">
        <v>372359.9</v>
      </c>
      <c r="J235" s="335">
        <v>533981.3</v>
      </c>
      <c r="K235" s="335">
        <v>492363.9</v>
      </c>
      <c r="L235" s="335">
        <v>504424.7</v>
      </c>
      <c r="M235" s="335">
        <v>556806.2</v>
      </c>
      <c r="N235" s="335">
        <v>584252.1</v>
      </c>
      <c r="O235" s="335">
        <v>593853.5</v>
      </c>
      <c r="P235" s="335">
        <v>607643.6</v>
      </c>
      <c r="Q235" s="335">
        <v>707666.4</v>
      </c>
      <c r="R235" s="335">
        <v>641853.2</v>
      </c>
    </row>
    <row r="236" spans="4:18" ht="15">
      <c r="D236" s="28" t="s">
        <v>3128</v>
      </c>
      <c r="E236" s="21" t="s">
        <v>949</v>
      </c>
      <c r="F236" s="20" t="s">
        <v>687</v>
      </c>
      <c r="G236" s="28" t="s">
        <v>3127</v>
      </c>
      <c r="H236" s="20" t="s">
        <v>3554</v>
      </c>
      <c r="I236" s="335">
        <v>3156603.2</v>
      </c>
      <c r="J236" s="335">
        <v>3329179.2</v>
      </c>
      <c r="K236" s="335">
        <v>3434518</v>
      </c>
      <c r="L236" s="335">
        <v>3563360.8</v>
      </c>
      <c r="M236" s="335">
        <v>3697752.7</v>
      </c>
      <c r="N236" s="335">
        <v>3998778.6</v>
      </c>
      <c r="O236" s="335">
        <v>4135941.1</v>
      </c>
      <c r="P236" s="335">
        <v>4347269.4</v>
      </c>
      <c r="Q236" s="335">
        <v>4550413.4</v>
      </c>
      <c r="R236" s="335">
        <v>4664110.8</v>
      </c>
    </row>
    <row r="237" spans="4:18" ht="15">
      <c r="D237" s="28" t="s">
        <v>479</v>
      </c>
      <c r="E237" s="21" t="s">
        <v>950</v>
      </c>
      <c r="F237" s="20" t="s">
        <v>687</v>
      </c>
      <c r="G237" s="28" t="s">
        <v>3129</v>
      </c>
      <c r="H237" s="20" t="s">
        <v>3555</v>
      </c>
      <c r="I237" s="335">
        <v>2353856.4</v>
      </c>
      <c r="J237" s="335">
        <v>2738716</v>
      </c>
      <c r="K237" s="335">
        <v>2787006.2</v>
      </c>
      <c r="L237" s="335">
        <v>2802593.3</v>
      </c>
      <c r="M237" s="335">
        <v>2957102.2</v>
      </c>
      <c r="N237" s="335">
        <v>3072516.8</v>
      </c>
      <c r="O237" s="335">
        <v>3106313.1</v>
      </c>
      <c r="P237" s="335">
        <v>3536523.8</v>
      </c>
      <c r="Q237" s="335">
        <v>3893180.1</v>
      </c>
      <c r="R237" s="335">
        <v>3950972.3</v>
      </c>
    </row>
    <row r="238" spans="4:18" ht="15">
      <c r="D238" s="28" t="s">
        <v>3131</v>
      </c>
      <c r="E238" s="21" t="s">
        <v>951</v>
      </c>
      <c r="F238" s="20" t="s">
        <v>687</v>
      </c>
      <c r="G238" s="28" t="s">
        <v>3130</v>
      </c>
      <c r="H238" s="20" t="s">
        <v>3556</v>
      </c>
      <c r="I238" s="335">
        <v>1206695.6</v>
      </c>
      <c r="J238" s="335">
        <v>1521233.7</v>
      </c>
      <c r="K238" s="335">
        <v>1456644.3</v>
      </c>
      <c r="L238" s="335">
        <v>1356632.7</v>
      </c>
      <c r="M238" s="335">
        <v>1421672.3</v>
      </c>
      <c r="N238" s="335">
        <v>1369599.9</v>
      </c>
      <c r="O238" s="335">
        <v>1523818.1</v>
      </c>
      <c r="P238" s="335">
        <v>1634719.7</v>
      </c>
      <c r="Q238" s="335">
        <v>1921863.1</v>
      </c>
      <c r="R238" s="335">
        <v>1986154.9</v>
      </c>
    </row>
    <row r="239" spans="4:18" ht="15">
      <c r="D239" s="28" t="s">
        <v>3133</v>
      </c>
      <c r="E239" s="21" t="s">
        <v>952</v>
      </c>
      <c r="F239" s="20" t="s">
        <v>687</v>
      </c>
      <c r="G239" s="28" t="s">
        <v>3132</v>
      </c>
      <c r="H239" s="20" t="s">
        <v>3557</v>
      </c>
      <c r="I239" s="335">
        <v>7619744.8</v>
      </c>
      <c r="J239" s="335">
        <v>8530259.9</v>
      </c>
      <c r="K239" s="335">
        <v>8960869.2</v>
      </c>
      <c r="L239" s="335">
        <v>9044040.4</v>
      </c>
      <c r="M239" s="335">
        <v>9747754.8</v>
      </c>
      <c r="N239" s="335">
        <v>10220809.3</v>
      </c>
      <c r="O239" s="335">
        <v>10809050.8</v>
      </c>
      <c r="P239" s="335">
        <v>12084556.8</v>
      </c>
      <c r="Q239" s="335">
        <v>12742971.1</v>
      </c>
      <c r="R239" s="335">
        <v>13055254.7</v>
      </c>
    </row>
    <row r="240" spans="4:18" ht="15">
      <c r="D240" s="20" t="s">
        <v>496</v>
      </c>
      <c r="E240" s="21" t="s">
        <v>953</v>
      </c>
      <c r="F240" s="20" t="s">
        <v>688</v>
      </c>
      <c r="G240" s="20" t="s">
        <v>688</v>
      </c>
      <c r="H240" s="20" t="s">
        <v>3558</v>
      </c>
      <c r="I240" s="335">
        <v>35946156.1</v>
      </c>
      <c r="J240" s="335">
        <v>30564716.2</v>
      </c>
      <c r="K240" s="335">
        <v>30351935.3</v>
      </c>
      <c r="L240" s="335">
        <v>26980509.4</v>
      </c>
      <c r="M240" s="335">
        <v>28109312.1</v>
      </c>
      <c r="N240" s="335">
        <v>29365983.8</v>
      </c>
      <c r="O240" s="335">
        <v>30695422.8</v>
      </c>
      <c r="P240" s="335">
        <v>32907471.1</v>
      </c>
      <c r="Q240" s="335">
        <v>33041919.9</v>
      </c>
      <c r="R240" s="335">
        <v>34287755.4</v>
      </c>
    </row>
    <row r="241" spans="4:18" ht="15">
      <c r="D241" s="20" t="s">
        <v>3135</v>
      </c>
      <c r="E241" s="21" t="s">
        <v>954</v>
      </c>
      <c r="F241" s="20" t="s">
        <v>688</v>
      </c>
      <c r="G241" s="20" t="s">
        <v>3134</v>
      </c>
      <c r="H241" s="20" t="s">
        <v>3559</v>
      </c>
      <c r="I241" s="335">
        <v>3044799.9</v>
      </c>
      <c r="J241" s="335">
        <v>4360008.8</v>
      </c>
      <c r="K241" s="335">
        <v>4696341.5</v>
      </c>
      <c r="L241" s="335">
        <v>4941830.7</v>
      </c>
      <c r="M241" s="335">
        <v>5240069.4</v>
      </c>
      <c r="N241" s="335">
        <v>4775501.9</v>
      </c>
      <c r="O241" s="335">
        <v>5515488.4</v>
      </c>
      <c r="P241" s="335">
        <v>5005629.9</v>
      </c>
      <c r="Q241" s="335">
        <v>3992033.6</v>
      </c>
      <c r="R241" s="335">
        <v>4363220</v>
      </c>
    </row>
    <row r="242" spans="4:18" ht="15">
      <c r="D242" s="28" t="s">
        <v>3137</v>
      </c>
      <c r="E242" s="21" t="s">
        <v>955</v>
      </c>
      <c r="F242" s="20" t="s">
        <v>688</v>
      </c>
      <c r="G242" s="28" t="s">
        <v>3136</v>
      </c>
      <c r="H242" s="20" t="s">
        <v>3560</v>
      </c>
      <c r="I242" s="335">
        <v>761352.9</v>
      </c>
      <c r="J242" s="335" t="s">
        <v>2740</v>
      </c>
      <c r="K242" s="335" t="s">
        <v>2740</v>
      </c>
      <c r="L242" s="335" t="s">
        <v>2740</v>
      </c>
      <c r="M242" s="335" t="s">
        <v>2740</v>
      </c>
      <c r="N242" s="335" t="s">
        <v>2740</v>
      </c>
      <c r="O242" s="335" t="s">
        <v>2740</v>
      </c>
      <c r="P242" s="335" t="s">
        <v>2740</v>
      </c>
      <c r="Q242" s="335" t="s">
        <v>2740</v>
      </c>
      <c r="R242" s="335" t="s">
        <v>2740</v>
      </c>
    </row>
    <row r="243" spans="4:18" ht="15">
      <c r="D243" s="28" t="s">
        <v>3139</v>
      </c>
      <c r="E243" s="21" t="s">
        <v>956</v>
      </c>
      <c r="F243" s="20" t="s">
        <v>688</v>
      </c>
      <c r="G243" s="28" t="s">
        <v>3138</v>
      </c>
      <c r="H243" s="20" t="s">
        <v>3561</v>
      </c>
      <c r="I243" s="335">
        <v>2283447</v>
      </c>
      <c r="J243" s="335" t="s">
        <v>2740</v>
      </c>
      <c r="K243" s="335" t="s">
        <v>2740</v>
      </c>
      <c r="L243" s="335" t="s">
        <v>2740</v>
      </c>
      <c r="M243" s="335" t="s">
        <v>2740</v>
      </c>
      <c r="N243" s="335" t="s">
        <v>2740</v>
      </c>
      <c r="O243" s="335" t="s">
        <v>2740</v>
      </c>
      <c r="P243" s="335" t="s">
        <v>2740</v>
      </c>
      <c r="Q243" s="335" t="s">
        <v>2740</v>
      </c>
      <c r="R243" s="335" t="s">
        <v>2740</v>
      </c>
    </row>
    <row r="244" spans="4:18" ht="15">
      <c r="D244" s="20" t="s">
        <v>3141</v>
      </c>
      <c r="E244" s="21" t="s">
        <v>957</v>
      </c>
      <c r="F244" s="20" t="s">
        <v>688</v>
      </c>
      <c r="G244" s="20" t="s">
        <v>3140</v>
      </c>
      <c r="H244" s="20" t="s">
        <v>3562</v>
      </c>
      <c r="I244" s="335">
        <v>735671.9</v>
      </c>
      <c r="J244" s="335">
        <v>835830.7</v>
      </c>
      <c r="K244" s="335">
        <v>1023088.1</v>
      </c>
      <c r="L244" s="335">
        <v>618216.9</v>
      </c>
      <c r="M244" s="335">
        <v>725872.9</v>
      </c>
      <c r="N244" s="335">
        <v>763300.5</v>
      </c>
      <c r="O244" s="335">
        <v>888118</v>
      </c>
      <c r="P244" s="335">
        <v>1056433.7</v>
      </c>
      <c r="Q244" s="335">
        <v>1065382.7</v>
      </c>
      <c r="R244" s="335">
        <v>1118852.9</v>
      </c>
    </row>
    <row r="245" spans="4:18" ht="15">
      <c r="D245" s="28" t="s">
        <v>3141</v>
      </c>
      <c r="E245" s="21" t="s">
        <v>958</v>
      </c>
      <c r="F245" s="20" t="s">
        <v>688</v>
      </c>
      <c r="G245" s="28" t="s">
        <v>3142</v>
      </c>
      <c r="H245" s="20" t="s">
        <v>3563</v>
      </c>
      <c r="I245" s="335">
        <v>735671.9</v>
      </c>
      <c r="J245" s="335">
        <v>835830.7</v>
      </c>
      <c r="K245" s="335">
        <v>1023088.1</v>
      </c>
      <c r="L245" s="335">
        <v>618216.9</v>
      </c>
      <c r="M245" s="335">
        <v>725872.9</v>
      </c>
      <c r="N245" s="335">
        <v>763300.5</v>
      </c>
      <c r="O245" s="335">
        <v>888118</v>
      </c>
      <c r="P245" s="335">
        <v>1056433.7</v>
      </c>
      <c r="Q245" s="335">
        <v>1065382.7</v>
      </c>
      <c r="R245" s="335">
        <v>1118852.9</v>
      </c>
    </row>
    <row r="246" spans="4:18" ht="15">
      <c r="D246" s="20" t="s">
        <v>3144</v>
      </c>
      <c r="E246" s="21" t="s">
        <v>959</v>
      </c>
      <c r="F246" s="20" t="s">
        <v>688</v>
      </c>
      <c r="G246" s="20" t="s">
        <v>3143</v>
      </c>
      <c r="H246" s="20" t="s">
        <v>3564</v>
      </c>
      <c r="I246" s="335">
        <v>793245.9</v>
      </c>
      <c r="J246" s="335">
        <v>753309.9</v>
      </c>
      <c r="K246" s="335">
        <v>776755.3</v>
      </c>
      <c r="L246" s="335">
        <v>830333.8</v>
      </c>
      <c r="M246" s="335">
        <v>825491</v>
      </c>
      <c r="N246" s="335">
        <v>1752990.8</v>
      </c>
      <c r="O246" s="335">
        <v>2239183.9</v>
      </c>
      <c r="P246" s="335">
        <v>2160179.9</v>
      </c>
      <c r="Q246" s="335">
        <v>2335351.8</v>
      </c>
      <c r="R246" s="335">
        <v>1917124.2</v>
      </c>
    </row>
    <row r="247" spans="4:18" ht="15">
      <c r="D247" s="28" t="s">
        <v>3144</v>
      </c>
      <c r="E247" s="21" t="s">
        <v>960</v>
      </c>
      <c r="F247" s="20" t="s">
        <v>688</v>
      </c>
      <c r="G247" s="28" t="s">
        <v>3145</v>
      </c>
      <c r="H247" s="20" t="s">
        <v>3565</v>
      </c>
      <c r="I247" s="335">
        <v>793245.9</v>
      </c>
      <c r="J247" s="335">
        <v>753309.9</v>
      </c>
      <c r="K247" s="335">
        <v>776755.3</v>
      </c>
      <c r="L247" s="335">
        <v>830333.8</v>
      </c>
      <c r="M247" s="335">
        <v>825491</v>
      </c>
      <c r="N247" s="335">
        <v>1752990.8</v>
      </c>
      <c r="O247" s="335">
        <v>2239183.9</v>
      </c>
      <c r="P247" s="335">
        <v>2160179.9</v>
      </c>
      <c r="Q247" s="335">
        <v>2335351.8</v>
      </c>
      <c r="R247" s="335">
        <v>1917124.2</v>
      </c>
    </row>
    <row r="248" spans="4:18" ht="15">
      <c r="D248" s="20" t="s">
        <v>3147</v>
      </c>
      <c r="E248" s="21" t="s">
        <v>961</v>
      </c>
      <c r="F248" s="20" t="s">
        <v>688</v>
      </c>
      <c r="G248" s="20" t="s">
        <v>3146</v>
      </c>
      <c r="H248" s="20" t="s">
        <v>3566</v>
      </c>
      <c r="I248" s="335">
        <v>28847929.5</v>
      </c>
      <c r="J248" s="335">
        <v>21180511.5</v>
      </c>
      <c r="K248" s="335">
        <v>20444136</v>
      </c>
      <c r="L248" s="335">
        <v>17435422.5</v>
      </c>
      <c r="M248" s="335">
        <v>17879891.5</v>
      </c>
      <c r="N248" s="335">
        <v>17423857</v>
      </c>
      <c r="O248" s="335">
        <v>16334356.1</v>
      </c>
      <c r="P248" s="335">
        <v>18383470.5</v>
      </c>
      <c r="Q248" s="335">
        <v>18973953.5</v>
      </c>
      <c r="R248" s="335">
        <v>19711052.7</v>
      </c>
    </row>
    <row r="249" spans="4:18" ht="15">
      <c r="D249" s="28" t="s">
        <v>3147</v>
      </c>
      <c r="E249" s="21" t="s">
        <v>962</v>
      </c>
      <c r="F249" s="20" t="s">
        <v>688</v>
      </c>
      <c r="G249" s="28" t="s">
        <v>3148</v>
      </c>
      <c r="H249" s="20" t="s">
        <v>3567</v>
      </c>
      <c r="I249" s="335">
        <v>28847929.5</v>
      </c>
      <c r="J249" s="335">
        <v>21180511.5</v>
      </c>
      <c r="K249" s="335">
        <v>20444136</v>
      </c>
      <c r="L249" s="335">
        <v>17435422.5</v>
      </c>
      <c r="M249" s="335">
        <v>17879891.5</v>
      </c>
      <c r="N249" s="335">
        <v>17423857</v>
      </c>
      <c r="O249" s="335">
        <v>16334356.1</v>
      </c>
      <c r="P249" s="335">
        <v>18383470.5</v>
      </c>
      <c r="Q249" s="335">
        <v>18973953.5</v>
      </c>
      <c r="R249" s="335">
        <v>19711052.7</v>
      </c>
    </row>
    <row r="250" spans="4:18" ht="15">
      <c r="D250" s="20" t="s">
        <v>3150</v>
      </c>
      <c r="E250" s="21" t="s">
        <v>963</v>
      </c>
      <c r="F250" s="20" t="s">
        <v>688</v>
      </c>
      <c r="G250" s="20" t="s">
        <v>3149</v>
      </c>
      <c r="H250" s="20" t="s">
        <v>3568</v>
      </c>
      <c r="I250" s="335">
        <v>1957447.9</v>
      </c>
      <c r="J250" s="335">
        <v>2769630.6</v>
      </c>
      <c r="K250" s="335">
        <v>2903015.6</v>
      </c>
      <c r="L250" s="335">
        <v>2844906.6</v>
      </c>
      <c r="M250" s="335">
        <v>3067351.3</v>
      </c>
      <c r="N250" s="335">
        <v>4267954.9</v>
      </c>
      <c r="O250" s="335">
        <v>5124679.1</v>
      </c>
      <c r="P250" s="335">
        <v>5657310.6</v>
      </c>
      <c r="Q250" s="335">
        <v>6003832.1</v>
      </c>
      <c r="R250" s="335">
        <v>6417189.3</v>
      </c>
    </row>
    <row r="251" spans="4:18" ht="15">
      <c r="D251" s="28" t="s">
        <v>3152</v>
      </c>
      <c r="E251" s="21" t="s">
        <v>964</v>
      </c>
      <c r="F251" s="20" t="s">
        <v>688</v>
      </c>
      <c r="G251" s="28" t="s">
        <v>3151</v>
      </c>
      <c r="H251" s="20" t="s">
        <v>3569</v>
      </c>
      <c r="I251" s="335">
        <v>1945230.5</v>
      </c>
      <c r="J251" s="335">
        <v>2761581.7</v>
      </c>
      <c r="K251" s="335">
        <v>2896001.8</v>
      </c>
      <c r="L251" s="335">
        <v>2837659.9</v>
      </c>
      <c r="M251" s="335">
        <v>3059477.3</v>
      </c>
      <c r="N251" s="335">
        <v>4259678.6</v>
      </c>
      <c r="O251" s="335">
        <v>5115673.6</v>
      </c>
      <c r="P251" s="335">
        <v>5648927</v>
      </c>
      <c r="Q251" s="335">
        <v>5991543.3</v>
      </c>
      <c r="R251" s="335">
        <v>6398368.3</v>
      </c>
    </row>
    <row r="252" spans="4:18" ht="15">
      <c r="D252" s="28" t="s">
        <v>3154</v>
      </c>
      <c r="E252" s="21" t="s">
        <v>965</v>
      </c>
      <c r="F252" s="20" t="s">
        <v>688</v>
      </c>
      <c r="G252" s="28" t="s">
        <v>3153</v>
      </c>
      <c r="H252" s="20" t="s">
        <v>3570</v>
      </c>
      <c r="I252" s="335">
        <v>12217.4</v>
      </c>
      <c r="J252" s="335">
        <v>8048.9</v>
      </c>
      <c r="K252" s="335">
        <v>7013.8</v>
      </c>
      <c r="L252" s="335">
        <v>7246.7</v>
      </c>
      <c r="M252" s="335">
        <v>7874</v>
      </c>
      <c r="N252" s="335">
        <v>8276.3</v>
      </c>
      <c r="O252" s="335">
        <v>9005.5</v>
      </c>
      <c r="P252" s="335">
        <v>8383.6</v>
      </c>
      <c r="Q252" s="335">
        <v>12288.8</v>
      </c>
      <c r="R252" s="335">
        <v>18821</v>
      </c>
    </row>
    <row r="253" spans="4:18" ht="15">
      <c r="D253" s="20" t="s">
        <v>3156</v>
      </c>
      <c r="E253" s="21" t="s">
        <v>966</v>
      </c>
      <c r="F253" s="20" t="s">
        <v>688</v>
      </c>
      <c r="G253" s="20" t="s">
        <v>3155</v>
      </c>
      <c r="H253" s="20" t="s">
        <v>3571</v>
      </c>
      <c r="I253" s="335">
        <v>64053</v>
      </c>
      <c r="J253" s="335">
        <v>73255.5</v>
      </c>
      <c r="K253" s="335">
        <v>88698.8</v>
      </c>
      <c r="L253" s="335">
        <v>94854.6</v>
      </c>
      <c r="M253" s="335">
        <v>117480.8</v>
      </c>
      <c r="N253" s="335">
        <v>137371.2</v>
      </c>
      <c r="O253" s="335">
        <v>252449.8</v>
      </c>
      <c r="P253" s="335">
        <v>276957.4</v>
      </c>
      <c r="Q253" s="335">
        <v>281130.3</v>
      </c>
      <c r="R253" s="335" t="s">
        <v>2740</v>
      </c>
    </row>
    <row r="254" spans="4:18" ht="15">
      <c r="D254" s="28" t="s">
        <v>3156</v>
      </c>
      <c r="E254" s="21" t="s">
        <v>967</v>
      </c>
      <c r="F254" s="20" t="s">
        <v>688</v>
      </c>
      <c r="G254" s="28" t="s">
        <v>3157</v>
      </c>
      <c r="H254" s="20" t="s">
        <v>3572</v>
      </c>
      <c r="I254" s="335">
        <v>64053</v>
      </c>
      <c r="J254" s="335">
        <v>73255.5</v>
      </c>
      <c r="K254" s="335">
        <v>88698.8</v>
      </c>
      <c r="L254" s="335">
        <v>94854.6</v>
      </c>
      <c r="M254" s="335">
        <v>117480.8</v>
      </c>
      <c r="N254" s="335">
        <v>137371.2</v>
      </c>
      <c r="O254" s="335">
        <v>252449.8</v>
      </c>
      <c r="P254" s="335">
        <v>276957.4</v>
      </c>
      <c r="Q254" s="335">
        <v>281130.3</v>
      </c>
      <c r="R254" s="335" t="s">
        <v>2740</v>
      </c>
    </row>
    <row r="255" spans="4:18" ht="15">
      <c r="D255" s="20" t="s">
        <v>3159</v>
      </c>
      <c r="E255" s="21" t="s">
        <v>968</v>
      </c>
      <c r="F255" s="20" t="s">
        <v>688</v>
      </c>
      <c r="G255" s="20" t="s">
        <v>3158</v>
      </c>
      <c r="H255" s="20" t="s">
        <v>3573</v>
      </c>
      <c r="I255" s="335">
        <v>488895.7</v>
      </c>
      <c r="J255" s="335">
        <v>575470.6</v>
      </c>
      <c r="K255" s="335">
        <v>399068.1</v>
      </c>
      <c r="L255" s="335">
        <v>196934.9</v>
      </c>
      <c r="M255" s="335">
        <v>237206.2</v>
      </c>
      <c r="N255" s="335">
        <v>230307.5</v>
      </c>
      <c r="O255" s="335">
        <v>326873.5</v>
      </c>
      <c r="P255" s="335">
        <v>351671.2</v>
      </c>
      <c r="Q255" s="335">
        <v>360840.9</v>
      </c>
      <c r="R255" s="335">
        <v>427564.9</v>
      </c>
    </row>
    <row r="256" spans="4:18" ht="15">
      <c r="D256" s="28" t="s">
        <v>3159</v>
      </c>
      <c r="E256" s="21" t="s">
        <v>969</v>
      </c>
      <c r="F256" s="20" t="s">
        <v>688</v>
      </c>
      <c r="G256" s="28" t="s">
        <v>3160</v>
      </c>
      <c r="H256" s="20" t="s">
        <v>3574</v>
      </c>
      <c r="I256" s="335">
        <v>488895.7</v>
      </c>
      <c r="J256" s="335">
        <v>575470.6</v>
      </c>
      <c r="K256" s="335">
        <v>399068.1</v>
      </c>
      <c r="L256" s="335">
        <v>196934.9</v>
      </c>
      <c r="M256" s="335">
        <v>237206.2</v>
      </c>
      <c r="N256" s="335">
        <v>230307.5</v>
      </c>
      <c r="O256" s="335">
        <v>326873.5</v>
      </c>
      <c r="P256" s="335">
        <v>351671.2</v>
      </c>
      <c r="Q256" s="335">
        <v>360840.9</v>
      </c>
      <c r="R256" s="335">
        <v>427564.9</v>
      </c>
    </row>
    <row r="257" spans="4:18" ht="15">
      <c r="D257" s="20" t="s">
        <v>3162</v>
      </c>
      <c r="E257" s="21" t="s">
        <v>970</v>
      </c>
      <c r="F257" s="20" t="s">
        <v>688</v>
      </c>
      <c r="G257" s="20" t="s">
        <v>3161</v>
      </c>
      <c r="H257" s="20" t="s">
        <v>3575</v>
      </c>
      <c r="I257" s="335">
        <v>14112.3</v>
      </c>
      <c r="J257" s="335">
        <v>16698.6</v>
      </c>
      <c r="K257" s="335">
        <v>20831.9</v>
      </c>
      <c r="L257" s="335">
        <v>18009.4</v>
      </c>
      <c r="M257" s="335">
        <v>15949</v>
      </c>
      <c r="N257" s="335">
        <v>14700</v>
      </c>
      <c r="O257" s="335">
        <v>14274</v>
      </c>
      <c r="P257" s="335">
        <v>15817.9</v>
      </c>
      <c r="Q257" s="335">
        <v>29395</v>
      </c>
      <c r="R257" s="335" t="s">
        <v>2740</v>
      </c>
    </row>
    <row r="258" spans="4:18" ht="15">
      <c r="D258" s="28" t="s">
        <v>3162</v>
      </c>
      <c r="E258" s="21" t="s">
        <v>971</v>
      </c>
      <c r="F258" s="20" t="s">
        <v>688</v>
      </c>
      <c r="G258" s="28" t="s">
        <v>3163</v>
      </c>
      <c r="H258" s="20" t="s">
        <v>3576</v>
      </c>
      <c r="I258" s="335">
        <v>14112.3</v>
      </c>
      <c r="J258" s="335">
        <v>16698.6</v>
      </c>
      <c r="K258" s="335">
        <v>20831.9</v>
      </c>
      <c r="L258" s="335">
        <v>18009.4</v>
      </c>
      <c r="M258" s="335">
        <v>15949</v>
      </c>
      <c r="N258" s="335">
        <v>14700</v>
      </c>
      <c r="O258" s="335">
        <v>14274</v>
      </c>
      <c r="P258" s="335">
        <v>15817.9</v>
      </c>
      <c r="Q258" s="335">
        <v>29395</v>
      </c>
      <c r="R258" s="335" t="s">
        <v>2740</v>
      </c>
    </row>
    <row r="259" spans="4:18" ht="15">
      <c r="D259" s="20" t="s">
        <v>511</v>
      </c>
      <c r="E259" s="21" t="s">
        <v>972</v>
      </c>
      <c r="F259" s="20" t="s">
        <v>663</v>
      </c>
      <c r="G259" s="20" t="s">
        <v>663</v>
      </c>
      <c r="H259" s="20" t="s">
        <v>3577</v>
      </c>
      <c r="I259" s="335">
        <v>35037683.5</v>
      </c>
      <c r="J259" s="335">
        <v>39517042.7</v>
      </c>
      <c r="K259" s="335">
        <v>42166192.5</v>
      </c>
      <c r="L259" s="335">
        <v>44113379.6</v>
      </c>
      <c r="M259" s="335">
        <v>47957874</v>
      </c>
      <c r="N259" s="335">
        <v>51717574</v>
      </c>
      <c r="O259" s="335">
        <v>56094837</v>
      </c>
      <c r="P259" s="335">
        <v>58315675.3</v>
      </c>
      <c r="Q259" s="335">
        <v>61665650.8</v>
      </c>
      <c r="R259" s="335">
        <v>71250227.7</v>
      </c>
    </row>
    <row r="260" spans="4:18" ht="15">
      <c r="D260" s="20" t="s">
        <v>3165</v>
      </c>
      <c r="E260" s="21" t="s">
        <v>973</v>
      </c>
      <c r="F260" s="20" t="s">
        <v>663</v>
      </c>
      <c r="G260" s="20" t="s">
        <v>3164</v>
      </c>
      <c r="H260" s="20" t="s">
        <v>3578</v>
      </c>
      <c r="I260" s="335">
        <v>8462861</v>
      </c>
      <c r="J260" s="335">
        <v>9844868.5</v>
      </c>
      <c r="K260" s="335">
        <v>10684979.4</v>
      </c>
      <c r="L260" s="335">
        <v>11030760.1</v>
      </c>
      <c r="M260" s="335">
        <v>12192094.1</v>
      </c>
      <c r="N260" s="335">
        <v>13311689.2</v>
      </c>
      <c r="O260" s="335">
        <v>13405018.5</v>
      </c>
      <c r="P260" s="335">
        <v>13584577.5</v>
      </c>
      <c r="Q260" s="335">
        <v>14026621</v>
      </c>
      <c r="R260" s="335">
        <v>14096283.9</v>
      </c>
    </row>
    <row r="261" spans="4:18" ht="15">
      <c r="D261" s="28" t="s">
        <v>3167</v>
      </c>
      <c r="E261" s="21" t="s">
        <v>974</v>
      </c>
      <c r="F261" s="20" t="s">
        <v>663</v>
      </c>
      <c r="G261" s="28" t="s">
        <v>3166</v>
      </c>
      <c r="H261" s="20" t="s">
        <v>3579</v>
      </c>
      <c r="I261" s="335">
        <v>4506774.3</v>
      </c>
      <c r="J261" s="335">
        <v>5128337.1</v>
      </c>
      <c r="K261" s="335">
        <v>5536540.8</v>
      </c>
      <c r="L261" s="335">
        <v>5418507.7</v>
      </c>
      <c r="M261" s="335">
        <v>5984561.7</v>
      </c>
      <c r="N261" s="335">
        <v>6486724.1</v>
      </c>
      <c r="O261" s="335">
        <v>6370058.4</v>
      </c>
      <c r="P261" s="335">
        <v>7075312.1</v>
      </c>
      <c r="Q261" s="335">
        <v>7215325.7</v>
      </c>
      <c r="R261" s="335">
        <v>6955905.9</v>
      </c>
    </row>
    <row r="262" spans="4:18" ht="15">
      <c r="D262" s="28" t="s">
        <v>3169</v>
      </c>
      <c r="E262" s="21" t="s">
        <v>975</v>
      </c>
      <c r="F262" s="20" t="s">
        <v>663</v>
      </c>
      <c r="G262" s="28" t="s">
        <v>3168</v>
      </c>
      <c r="H262" s="20" t="s">
        <v>3580</v>
      </c>
      <c r="I262" s="335">
        <v>3956086.7</v>
      </c>
      <c r="J262" s="335">
        <v>4716531.4</v>
      </c>
      <c r="K262" s="335">
        <v>5148438.6</v>
      </c>
      <c r="L262" s="335">
        <v>5612252.4</v>
      </c>
      <c r="M262" s="335">
        <v>6207532.4</v>
      </c>
      <c r="N262" s="335">
        <v>6824965.1</v>
      </c>
      <c r="O262" s="335">
        <v>7034960.1</v>
      </c>
      <c r="P262" s="335">
        <v>6509265.4</v>
      </c>
      <c r="Q262" s="335">
        <v>6811295.3</v>
      </c>
      <c r="R262" s="335">
        <v>7140378</v>
      </c>
    </row>
    <row r="263" spans="4:18" ht="15">
      <c r="D263" s="20" t="s">
        <v>3171</v>
      </c>
      <c r="E263" s="21" t="s">
        <v>976</v>
      </c>
      <c r="F263" s="20" t="s">
        <v>663</v>
      </c>
      <c r="G263" s="20" t="s">
        <v>3170</v>
      </c>
      <c r="H263" s="20" t="s">
        <v>3581</v>
      </c>
      <c r="I263" s="335">
        <v>1339943.5</v>
      </c>
      <c r="J263" s="335">
        <v>1616993.1</v>
      </c>
      <c r="K263" s="335">
        <v>1958260.7</v>
      </c>
      <c r="L263" s="335">
        <v>2072649.2</v>
      </c>
      <c r="M263" s="335">
        <v>2205056.9</v>
      </c>
      <c r="N263" s="335">
        <v>2670658.3</v>
      </c>
      <c r="O263" s="335">
        <v>3107527.4</v>
      </c>
      <c r="P263" s="335">
        <v>3459453.7</v>
      </c>
      <c r="Q263" s="335">
        <v>4021436.3</v>
      </c>
      <c r="R263" s="335">
        <v>11422661.2</v>
      </c>
    </row>
    <row r="264" spans="4:18" ht="15">
      <c r="D264" s="28" t="s">
        <v>3171</v>
      </c>
      <c r="E264" s="21" t="s">
        <v>977</v>
      </c>
      <c r="F264" s="20" t="s">
        <v>663</v>
      </c>
      <c r="G264" s="28" t="s">
        <v>3172</v>
      </c>
      <c r="H264" s="20" t="s">
        <v>3582</v>
      </c>
      <c r="I264" s="335">
        <v>1339943.5</v>
      </c>
      <c r="J264" s="335">
        <v>1616993.1</v>
      </c>
      <c r="K264" s="335">
        <v>1958260.7</v>
      </c>
      <c r="L264" s="335">
        <v>2072649.2</v>
      </c>
      <c r="M264" s="335">
        <v>2205056.9</v>
      </c>
      <c r="N264" s="335">
        <v>2670658.3</v>
      </c>
      <c r="O264" s="335">
        <v>3107527.4</v>
      </c>
      <c r="P264" s="335">
        <v>3459453.7</v>
      </c>
      <c r="Q264" s="335">
        <v>4021436.3</v>
      </c>
      <c r="R264" s="335">
        <v>11422661.2</v>
      </c>
    </row>
    <row r="265" spans="4:18" ht="15">
      <c r="D265" s="20" t="s">
        <v>3174</v>
      </c>
      <c r="E265" s="21" t="s">
        <v>978</v>
      </c>
      <c r="F265" s="20" t="s">
        <v>663</v>
      </c>
      <c r="G265" s="20" t="s">
        <v>3173</v>
      </c>
      <c r="H265" s="20" t="s">
        <v>3583</v>
      </c>
      <c r="I265" s="335">
        <v>6350487.3</v>
      </c>
      <c r="J265" s="335">
        <v>7607242.9</v>
      </c>
      <c r="K265" s="335">
        <v>7303316.1</v>
      </c>
      <c r="L265" s="335">
        <v>7316020.4</v>
      </c>
      <c r="M265" s="335">
        <v>7870200.9</v>
      </c>
      <c r="N265" s="335">
        <v>8360584.5</v>
      </c>
      <c r="O265" s="335">
        <v>7926697.5</v>
      </c>
      <c r="P265" s="335">
        <v>8761376.5</v>
      </c>
      <c r="Q265" s="335">
        <v>10251899</v>
      </c>
      <c r="R265" s="335">
        <v>11285131</v>
      </c>
    </row>
    <row r="266" spans="4:18" ht="15">
      <c r="D266" s="28" t="s">
        <v>528</v>
      </c>
      <c r="E266" s="21" t="s">
        <v>979</v>
      </c>
      <c r="F266" s="20" t="s">
        <v>663</v>
      </c>
      <c r="G266" s="28" t="s">
        <v>3175</v>
      </c>
      <c r="H266" s="20" t="s">
        <v>3584</v>
      </c>
      <c r="I266" s="335">
        <v>245445.2</v>
      </c>
      <c r="J266" s="335">
        <v>229806.6</v>
      </c>
      <c r="K266" s="335" t="s">
        <v>2740</v>
      </c>
      <c r="L266" s="335" t="s">
        <v>2740</v>
      </c>
      <c r="M266" s="335">
        <v>382669.6</v>
      </c>
      <c r="N266" s="335">
        <v>403188.4</v>
      </c>
      <c r="O266" s="335">
        <v>410797.9</v>
      </c>
      <c r="P266" s="335">
        <v>488024.5</v>
      </c>
      <c r="Q266" s="335">
        <v>728814.4</v>
      </c>
      <c r="R266" s="335">
        <v>829196.6</v>
      </c>
    </row>
    <row r="267" spans="4:18" ht="15">
      <c r="D267" s="28" t="s">
        <v>3177</v>
      </c>
      <c r="E267" s="21" t="s">
        <v>980</v>
      </c>
      <c r="F267" s="20" t="s">
        <v>663</v>
      </c>
      <c r="G267" s="28" t="s">
        <v>3176</v>
      </c>
      <c r="H267" s="20" t="s">
        <v>3585</v>
      </c>
      <c r="I267" s="335">
        <v>5218923.6</v>
      </c>
      <c r="J267" s="335">
        <v>6368150.8</v>
      </c>
      <c r="K267" s="335">
        <v>5930248.3</v>
      </c>
      <c r="L267" s="335">
        <v>5821829.2</v>
      </c>
      <c r="M267" s="335">
        <v>6088864.9</v>
      </c>
      <c r="N267" s="335">
        <v>6473061.5</v>
      </c>
      <c r="O267" s="335">
        <v>5555081.9</v>
      </c>
      <c r="P267" s="335">
        <v>6117084.7</v>
      </c>
      <c r="Q267" s="335">
        <v>7017315.7</v>
      </c>
      <c r="R267" s="335">
        <v>7803888.1</v>
      </c>
    </row>
    <row r="268" spans="4:18" ht="15">
      <c r="D268" s="28" t="s">
        <v>3179</v>
      </c>
      <c r="E268" s="21" t="s">
        <v>981</v>
      </c>
      <c r="F268" s="20" t="s">
        <v>663</v>
      </c>
      <c r="G268" s="28" t="s">
        <v>3178</v>
      </c>
      <c r="H268" s="20" t="s">
        <v>3586</v>
      </c>
      <c r="I268" s="335">
        <v>886118.5</v>
      </c>
      <c r="J268" s="335">
        <v>1009285.5</v>
      </c>
      <c r="K268" s="335" t="s">
        <v>2740</v>
      </c>
      <c r="L268" s="335" t="s">
        <v>2740</v>
      </c>
      <c r="M268" s="335">
        <v>1398666.4</v>
      </c>
      <c r="N268" s="335">
        <v>1484334.6</v>
      </c>
      <c r="O268" s="335">
        <v>1960817.7</v>
      </c>
      <c r="P268" s="335">
        <v>2156267.3</v>
      </c>
      <c r="Q268" s="335">
        <v>2505768.9</v>
      </c>
      <c r="R268" s="335">
        <v>2652046.3</v>
      </c>
    </row>
    <row r="269" spans="4:18" ht="15">
      <c r="D269" s="20" t="s">
        <v>3181</v>
      </c>
      <c r="E269" s="21" t="s">
        <v>982</v>
      </c>
      <c r="F269" s="20" t="s">
        <v>663</v>
      </c>
      <c r="G269" s="20" t="s">
        <v>3180</v>
      </c>
      <c r="H269" s="20" t="s">
        <v>3587</v>
      </c>
      <c r="I269" s="335">
        <v>3949816.4</v>
      </c>
      <c r="J269" s="335">
        <v>4363160.3</v>
      </c>
      <c r="K269" s="335">
        <v>4620067.6</v>
      </c>
      <c r="L269" s="335">
        <v>4495841.2</v>
      </c>
      <c r="M269" s="335">
        <v>5648419.8</v>
      </c>
      <c r="N269" s="335">
        <v>5978954.5</v>
      </c>
      <c r="O269" s="335">
        <v>7685606.9</v>
      </c>
      <c r="P269" s="335">
        <v>7407837.1</v>
      </c>
      <c r="Q269" s="335">
        <v>7238452.5</v>
      </c>
      <c r="R269" s="335">
        <v>7524742.5</v>
      </c>
    </row>
    <row r="270" spans="4:18" ht="15">
      <c r="D270" s="28" t="s">
        <v>3181</v>
      </c>
      <c r="E270" s="21" t="s">
        <v>983</v>
      </c>
      <c r="F270" s="20" t="s">
        <v>663</v>
      </c>
      <c r="G270" s="28" t="s">
        <v>3182</v>
      </c>
      <c r="H270" s="20" t="s">
        <v>3588</v>
      </c>
      <c r="I270" s="335">
        <v>3949816.4</v>
      </c>
      <c r="J270" s="335">
        <v>4363160.3</v>
      </c>
      <c r="K270" s="335">
        <v>4620067.6</v>
      </c>
      <c r="L270" s="335">
        <v>4495841.2</v>
      </c>
      <c r="M270" s="335">
        <v>5648419.8</v>
      </c>
      <c r="N270" s="335">
        <v>5978954.5</v>
      </c>
      <c r="O270" s="335">
        <v>7685606.9</v>
      </c>
      <c r="P270" s="335">
        <v>7407837.1</v>
      </c>
      <c r="Q270" s="335">
        <v>7238452.5</v>
      </c>
      <c r="R270" s="335">
        <v>7524742.5</v>
      </c>
    </row>
    <row r="271" spans="4:18" ht="15">
      <c r="D271" s="20" t="s">
        <v>3184</v>
      </c>
      <c r="E271" s="21" t="s">
        <v>984</v>
      </c>
      <c r="F271" s="20" t="s">
        <v>663</v>
      </c>
      <c r="G271" s="20" t="s">
        <v>3183</v>
      </c>
      <c r="H271" s="20" t="s">
        <v>3589</v>
      </c>
      <c r="I271" s="335">
        <v>13575457.8</v>
      </c>
      <c r="J271" s="335">
        <v>14563298.2</v>
      </c>
      <c r="K271" s="335">
        <v>16085262</v>
      </c>
      <c r="L271" s="335">
        <v>17488608.7</v>
      </c>
      <c r="M271" s="335">
        <v>18211522.3</v>
      </c>
      <c r="N271" s="335">
        <v>19267915</v>
      </c>
      <c r="O271" s="335">
        <v>20717433.5</v>
      </c>
      <c r="P271" s="335">
        <v>21434302.6</v>
      </c>
      <c r="Q271" s="335">
        <v>22178785.3</v>
      </c>
      <c r="R271" s="335">
        <v>22614353</v>
      </c>
    </row>
    <row r="272" spans="4:18" ht="15">
      <c r="D272" s="28" t="s">
        <v>3186</v>
      </c>
      <c r="E272" s="21" t="s">
        <v>985</v>
      </c>
      <c r="F272" s="20" t="s">
        <v>663</v>
      </c>
      <c r="G272" s="28" t="s">
        <v>3185</v>
      </c>
      <c r="H272" s="20" t="s">
        <v>3590</v>
      </c>
      <c r="I272" s="335">
        <v>12387748</v>
      </c>
      <c r="J272" s="335">
        <v>13329511.3</v>
      </c>
      <c r="K272" s="335">
        <v>14990641.3</v>
      </c>
      <c r="L272" s="335">
        <v>16463931.9</v>
      </c>
      <c r="M272" s="335">
        <v>17251035.1</v>
      </c>
      <c r="N272" s="335">
        <v>18376053.3</v>
      </c>
      <c r="O272" s="335">
        <v>19858672.2</v>
      </c>
      <c r="P272" s="335">
        <v>20536277.4</v>
      </c>
      <c r="Q272" s="335">
        <v>21286623.1</v>
      </c>
      <c r="R272" s="335">
        <v>21776101.1</v>
      </c>
    </row>
    <row r="273" spans="4:18" ht="15">
      <c r="D273" s="28" t="s">
        <v>3188</v>
      </c>
      <c r="E273" s="21" t="s">
        <v>986</v>
      </c>
      <c r="F273" s="20" t="s">
        <v>663</v>
      </c>
      <c r="G273" s="28" t="s">
        <v>3187</v>
      </c>
      <c r="H273" s="20" t="s">
        <v>3591</v>
      </c>
      <c r="I273" s="335">
        <v>1187709.8</v>
      </c>
      <c r="J273" s="335">
        <v>1233786.9</v>
      </c>
      <c r="K273" s="335">
        <v>1094620.7</v>
      </c>
      <c r="L273" s="335">
        <v>1024676.8</v>
      </c>
      <c r="M273" s="335">
        <v>960487.2</v>
      </c>
      <c r="N273" s="335">
        <v>891861.7</v>
      </c>
      <c r="O273" s="335">
        <v>858761.3</v>
      </c>
      <c r="P273" s="335">
        <v>898025.2</v>
      </c>
      <c r="Q273" s="335">
        <v>892162.2</v>
      </c>
      <c r="R273" s="335">
        <v>838251.9</v>
      </c>
    </row>
    <row r="274" spans="4:18" ht="15">
      <c r="D274" s="20" t="s">
        <v>3190</v>
      </c>
      <c r="E274" s="21" t="s">
        <v>987</v>
      </c>
      <c r="F274" s="20" t="s">
        <v>663</v>
      </c>
      <c r="G274" s="20" t="s">
        <v>3189</v>
      </c>
      <c r="H274" s="20" t="s">
        <v>3592</v>
      </c>
      <c r="I274" s="335">
        <v>1359117.5</v>
      </c>
      <c r="J274" s="335">
        <v>1521479.7</v>
      </c>
      <c r="K274" s="335">
        <v>1514306.7</v>
      </c>
      <c r="L274" s="335">
        <v>1709500</v>
      </c>
      <c r="M274" s="335">
        <v>1830580</v>
      </c>
      <c r="N274" s="335">
        <v>2127772.5</v>
      </c>
      <c r="O274" s="335">
        <v>3252553.2</v>
      </c>
      <c r="P274" s="335">
        <v>3668127.9</v>
      </c>
      <c r="Q274" s="335">
        <v>3948456.7</v>
      </c>
      <c r="R274" s="335">
        <v>4307056.1</v>
      </c>
    </row>
    <row r="275" spans="4:18" ht="15">
      <c r="D275" s="28" t="s">
        <v>3190</v>
      </c>
      <c r="E275" s="21" t="s">
        <v>988</v>
      </c>
      <c r="F275" s="20" t="s">
        <v>663</v>
      </c>
      <c r="G275" s="28" t="s">
        <v>3191</v>
      </c>
      <c r="H275" s="20" t="s">
        <v>3593</v>
      </c>
      <c r="I275" s="335">
        <v>1359117.5</v>
      </c>
      <c r="J275" s="335">
        <v>1521479.7</v>
      </c>
      <c r="K275" s="335">
        <v>1514306.7</v>
      </c>
      <c r="L275" s="335">
        <v>1709500</v>
      </c>
      <c r="M275" s="335">
        <v>1830580</v>
      </c>
      <c r="N275" s="335">
        <v>2127772.5</v>
      </c>
      <c r="O275" s="335">
        <v>3252553.2</v>
      </c>
      <c r="P275" s="335">
        <v>3668127.9</v>
      </c>
      <c r="Q275" s="335">
        <v>3948456.7</v>
      </c>
      <c r="R275" s="335">
        <v>4307056.1</v>
      </c>
    </row>
    <row r="276" spans="4:18" ht="15">
      <c r="D276" s="20" t="s">
        <v>552</v>
      </c>
      <c r="E276" s="21" t="s">
        <v>989</v>
      </c>
      <c r="F276" s="20" t="s">
        <v>689</v>
      </c>
      <c r="G276" s="20" t="s">
        <v>689</v>
      </c>
      <c r="H276" s="20" t="s">
        <v>3594</v>
      </c>
      <c r="I276" s="335">
        <v>24136411</v>
      </c>
      <c r="J276" s="335">
        <v>29422006.5</v>
      </c>
      <c r="K276" s="335">
        <v>32485286.7</v>
      </c>
      <c r="L276" s="335">
        <v>33518809</v>
      </c>
      <c r="M276" s="335">
        <v>35018263.9</v>
      </c>
      <c r="N276" s="335">
        <v>36553784.6</v>
      </c>
      <c r="O276" s="335">
        <v>36823259.8</v>
      </c>
      <c r="P276" s="335">
        <v>40527212.7</v>
      </c>
      <c r="Q276" s="335">
        <v>44653528.5</v>
      </c>
      <c r="R276" s="335">
        <v>47257267.7</v>
      </c>
    </row>
    <row r="277" spans="4:18" ht="15">
      <c r="D277" s="20" t="s">
        <v>3193</v>
      </c>
      <c r="E277" s="21" t="s">
        <v>990</v>
      </c>
      <c r="F277" s="20" t="s">
        <v>689</v>
      </c>
      <c r="G277" s="20" t="s">
        <v>3192</v>
      </c>
      <c r="H277" s="20" t="s">
        <v>3595</v>
      </c>
      <c r="I277" s="335">
        <v>8778882.6</v>
      </c>
      <c r="J277" s="335">
        <v>9846523.6</v>
      </c>
      <c r="K277" s="335">
        <v>10550402.1</v>
      </c>
      <c r="L277" s="335">
        <v>11303627.7</v>
      </c>
      <c r="M277" s="335">
        <v>11742795.9</v>
      </c>
      <c r="N277" s="335">
        <v>12589717.6</v>
      </c>
      <c r="O277" s="335">
        <v>13516321.3</v>
      </c>
      <c r="P277" s="335">
        <v>14467147.6</v>
      </c>
      <c r="Q277" s="335">
        <v>15697632.2</v>
      </c>
      <c r="R277" s="335">
        <v>16962400.1</v>
      </c>
    </row>
    <row r="278" spans="4:18" ht="15">
      <c r="D278" s="28" t="s">
        <v>3195</v>
      </c>
      <c r="E278" s="21" t="s">
        <v>991</v>
      </c>
      <c r="F278" s="20" t="s">
        <v>689</v>
      </c>
      <c r="G278" s="28" t="s">
        <v>3194</v>
      </c>
      <c r="H278" s="20" t="s">
        <v>3596</v>
      </c>
      <c r="I278" s="335">
        <v>3123212.7</v>
      </c>
      <c r="J278" s="335">
        <v>3446563.2</v>
      </c>
      <c r="K278" s="335">
        <v>3588601.5</v>
      </c>
      <c r="L278" s="335">
        <v>3944381.2</v>
      </c>
      <c r="M278" s="335">
        <v>4320268.1</v>
      </c>
      <c r="N278" s="335">
        <v>4696149.1</v>
      </c>
      <c r="O278" s="335">
        <v>5340074.4</v>
      </c>
      <c r="P278" s="335">
        <v>5463196.4</v>
      </c>
      <c r="Q278" s="335">
        <v>5290740.8</v>
      </c>
      <c r="R278" s="335">
        <v>5746287.4</v>
      </c>
    </row>
    <row r="279" spans="4:18" ht="15">
      <c r="D279" s="28" t="s">
        <v>3197</v>
      </c>
      <c r="E279" s="21" t="s">
        <v>992</v>
      </c>
      <c r="F279" s="20" t="s">
        <v>689</v>
      </c>
      <c r="G279" s="28" t="s">
        <v>3196</v>
      </c>
      <c r="H279" s="20" t="s">
        <v>3597</v>
      </c>
      <c r="I279" s="335">
        <v>436531.4</v>
      </c>
      <c r="J279" s="335">
        <v>527724.9</v>
      </c>
      <c r="K279" s="335">
        <v>603064.6</v>
      </c>
      <c r="L279" s="335">
        <v>660998.7</v>
      </c>
      <c r="M279" s="335">
        <v>684553.3</v>
      </c>
      <c r="N279" s="335">
        <v>810886.8</v>
      </c>
      <c r="O279" s="335">
        <v>879758.3</v>
      </c>
      <c r="P279" s="335">
        <v>893798.9</v>
      </c>
      <c r="Q279" s="335">
        <v>1095008.1</v>
      </c>
      <c r="R279" s="335">
        <v>1246311.5</v>
      </c>
    </row>
    <row r="280" spans="4:18" ht="15">
      <c r="D280" s="28" t="s">
        <v>3199</v>
      </c>
      <c r="E280" s="21" t="s">
        <v>993</v>
      </c>
      <c r="F280" s="20" t="s">
        <v>689</v>
      </c>
      <c r="G280" s="28" t="s">
        <v>3198</v>
      </c>
      <c r="H280" s="20" t="s">
        <v>3598</v>
      </c>
      <c r="I280" s="335">
        <v>1256301.5</v>
      </c>
      <c r="J280" s="335">
        <v>1445297.6</v>
      </c>
      <c r="K280" s="335">
        <v>1866834.6</v>
      </c>
      <c r="L280" s="335">
        <v>2210095.4</v>
      </c>
      <c r="M280" s="335">
        <v>2082156.9</v>
      </c>
      <c r="N280" s="335">
        <v>2194665.3</v>
      </c>
      <c r="O280" s="335">
        <v>2285161.8</v>
      </c>
      <c r="P280" s="335">
        <v>2913987.1</v>
      </c>
      <c r="Q280" s="335">
        <v>3538493.6</v>
      </c>
      <c r="R280" s="335">
        <v>4149516.3</v>
      </c>
    </row>
    <row r="281" spans="4:18" ht="15">
      <c r="D281" s="28" t="s">
        <v>3201</v>
      </c>
      <c r="E281" s="21" t="s">
        <v>994</v>
      </c>
      <c r="F281" s="20" t="s">
        <v>689</v>
      </c>
      <c r="G281" s="28" t="s">
        <v>3200</v>
      </c>
      <c r="H281" s="20" t="s">
        <v>3599</v>
      </c>
      <c r="I281" s="335">
        <v>1381976.7</v>
      </c>
      <c r="J281" s="335">
        <v>1466020.3</v>
      </c>
      <c r="K281" s="335">
        <v>1479301.6</v>
      </c>
      <c r="L281" s="335">
        <v>1549444.6</v>
      </c>
      <c r="M281" s="335">
        <v>1561613.4</v>
      </c>
      <c r="N281" s="335">
        <v>1632933.9</v>
      </c>
      <c r="O281" s="335">
        <v>1717171.4</v>
      </c>
      <c r="P281" s="335">
        <v>1556404</v>
      </c>
      <c r="Q281" s="335">
        <v>1658767.6</v>
      </c>
      <c r="R281" s="335">
        <v>1844744.1</v>
      </c>
    </row>
    <row r="282" spans="4:18" ht="15">
      <c r="D282" s="28" t="s">
        <v>3203</v>
      </c>
      <c r="E282" s="21" t="s">
        <v>995</v>
      </c>
      <c r="F282" s="20" t="s">
        <v>689</v>
      </c>
      <c r="G282" s="28" t="s">
        <v>3202</v>
      </c>
      <c r="H282" s="20" t="s">
        <v>3600</v>
      </c>
      <c r="I282" s="335">
        <v>2580860.3</v>
      </c>
      <c r="J282" s="335">
        <v>2960917.6</v>
      </c>
      <c r="K282" s="335">
        <v>3012599.8</v>
      </c>
      <c r="L282" s="335">
        <v>2938707.8</v>
      </c>
      <c r="M282" s="335">
        <v>3094204.2</v>
      </c>
      <c r="N282" s="335">
        <v>3255082.5</v>
      </c>
      <c r="O282" s="335">
        <v>3294155.4</v>
      </c>
      <c r="P282" s="335">
        <v>3639761.2</v>
      </c>
      <c r="Q282" s="335">
        <v>4114622.1</v>
      </c>
      <c r="R282" s="335">
        <v>3975540.8</v>
      </c>
    </row>
    <row r="283" spans="4:18" ht="15">
      <c r="D283" s="20" t="s">
        <v>3205</v>
      </c>
      <c r="E283" s="21" t="s">
        <v>996</v>
      </c>
      <c r="F283" s="20" t="s">
        <v>689</v>
      </c>
      <c r="G283" s="20" t="s">
        <v>3204</v>
      </c>
      <c r="H283" s="20" t="s">
        <v>3601</v>
      </c>
      <c r="I283" s="335">
        <v>6118775</v>
      </c>
      <c r="J283" s="335">
        <v>6991160.9</v>
      </c>
      <c r="K283" s="335">
        <v>7379234.5</v>
      </c>
      <c r="L283" s="335">
        <v>8217976.3</v>
      </c>
      <c r="M283" s="335">
        <v>9128327.8</v>
      </c>
      <c r="N283" s="335">
        <v>10119712.7</v>
      </c>
      <c r="O283" s="335">
        <v>10256806.3</v>
      </c>
      <c r="P283" s="335">
        <v>11357354.2</v>
      </c>
      <c r="Q283" s="335">
        <v>12596955.6</v>
      </c>
      <c r="R283" s="335">
        <v>13597868.5</v>
      </c>
    </row>
    <row r="284" spans="4:18" ht="15">
      <c r="D284" s="28" t="s">
        <v>3207</v>
      </c>
      <c r="E284" s="21" t="s">
        <v>997</v>
      </c>
      <c r="F284" s="20" t="s">
        <v>689</v>
      </c>
      <c r="G284" s="28" t="s">
        <v>3206</v>
      </c>
      <c r="H284" s="20" t="s">
        <v>3602</v>
      </c>
      <c r="I284" s="335">
        <v>304057.5</v>
      </c>
      <c r="J284" s="335">
        <v>432935.8</v>
      </c>
      <c r="K284" s="335">
        <v>480768.1</v>
      </c>
      <c r="L284" s="335">
        <v>463729.4</v>
      </c>
      <c r="M284" s="335">
        <v>471647.2</v>
      </c>
      <c r="N284" s="335">
        <v>558326.1</v>
      </c>
      <c r="O284" s="335">
        <v>666776.5</v>
      </c>
      <c r="P284" s="335">
        <v>438467.4</v>
      </c>
      <c r="Q284" s="335">
        <v>396930.9</v>
      </c>
      <c r="R284" s="335">
        <v>677454.7</v>
      </c>
    </row>
    <row r="285" spans="4:18" ht="15">
      <c r="D285" s="28" t="s">
        <v>3209</v>
      </c>
      <c r="E285" s="21" t="s">
        <v>998</v>
      </c>
      <c r="F285" s="20" t="s">
        <v>689</v>
      </c>
      <c r="G285" s="28" t="s">
        <v>3208</v>
      </c>
      <c r="H285" s="20" t="s">
        <v>3603</v>
      </c>
      <c r="I285" s="335">
        <v>1642146.2</v>
      </c>
      <c r="J285" s="335">
        <v>1849525</v>
      </c>
      <c r="K285" s="335">
        <v>2006724.7</v>
      </c>
      <c r="L285" s="335">
        <v>2149838</v>
      </c>
      <c r="M285" s="335">
        <v>2344570.1</v>
      </c>
      <c r="N285" s="335">
        <v>2642711.2</v>
      </c>
      <c r="O285" s="335">
        <v>2838819.4</v>
      </c>
      <c r="P285" s="335">
        <v>3416296.2</v>
      </c>
      <c r="Q285" s="335">
        <v>3916925.5</v>
      </c>
      <c r="R285" s="335">
        <v>4381832.4</v>
      </c>
    </row>
    <row r="286" spans="4:18" ht="15">
      <c r="D286" s="28" t="s">
        <v>3211</v>
      </c>
      <c r="E286" s="21" t="s">
        <v>999</v>
      </c>
      <c r="F286" s="20" t="s">
        <v>689</v>
      </c>
      <c r="G286" s="28" t="s">
        <v>3210</v>
      </c>
      <c r="H286" s="20" t="s">
        <v>3604</v>
      </c>
      <c r="I286" s="335">
        <v>155400.2</v>
      </c>
      <c r="J286" s="335">
        <v>235702.3</v>
      </c>
      <c r="K286" s="335">
        <v>225224.9</v>
      </c>
      <c r="L286" s="335">
        <v>355587.8</v>
      </c>
      <c r="M286" s="335">
        <v>439213</v>
      </c>
      <c r="N286" s="335">
        <v>464068.7</v>
      </c>
      <c r="O286" s="335">
        <v>408165.7</v>
      </c>
      <c r="P286" s="335">
        <v>392189.7</v>
      </c>
      <c r="Q286" s="335">
        <v>406594.1</v>
      </c>
      <c r="R286" s="335">
        <v>559003.6</v>
      </c>
    </row>
    <row r="287" spans="4:18" ht="15">
      <c r="D287" s="28" t="s">
        <v>3213</v>
      </c>
      <c r="E287" s="21" t="s">
        <v>1000</v>
      </c>
      <c r="F287" s="20" t="s">
        <v>689</v>
      </c>
      <c r="G287" s="28" t="s">
        <v>3212</v>
      </c>
      <c r="H287" s="20" t="s">
        <v>3605</v>
      </c>
      <c r="I287" s="335">
        <v>61718.5</v>
      </c>
      <c r="J287" s="335">
        <v>71544.7</v>
      </c>
      <c r="K287" s="335">
        <v>85720</v>
      </c>
      <c r="L287" s="335">
        <v>76126.6</v>
      </c>
      <c r="M287" s="335">
        <v>76326.2</v>
      </c>
      <c r="N287" s="335">
        <v>78507.6</v>
      </c>
      <c r="O287" s="335">
        <v>71476.3</v>
      </c>
      <c r="P287" s="335">
        <v>87107.9</v>
      </c>
      <c r="Q287" s="335">
        <v>104592.6</v>
      </c>
      <c r="R287" s="335">
        <v>98301.1</v>
      </c>
    </row>
    <row r="288" spans="4:18" ht="15">
      <c r="D288" s="28" t="s">
        <v>3215</v>
      </c>
      <c r="E288" s="21" t="s">
        <v>1001</v>
      </c>
      <c r="F288" s="20" t="s">
        <v>689</v>
      </c>
      <c r="G288" s="28" t="s">
        <v>3214</v>
      </c>
      <c r="H288" s="20" t="s">
        <v>3606</v>
      </c>
      <c r="I288" s="335">
        <v>2106549.1</v>
      </c>
      <c r="J288" s="335">
        <v>2642400.9</v>
      </c>
      <c r="K288" s="335">
        <v>2702895.3</v>
      </c>
      <c r="L288" s="335">
        <v>2921508.2</v>
      </c>
      <c r="M288" s="335">
        <v>3425045.4</v>
      </c>
      <c r="N288" s="335">
        <v>3663530.4</v>
      </c>
      <c r="O288" s="335">
        <v>3420021.8</v>
      </c>
      <c r="P288" s="335">
        <v>3895750.8</v>
      </c>
      <c r="Q288" s="335">
        <v>4255338.5</v>
      </c>
      <c r="R288" s="335">
        <v>4098926.2</v>
      </c>
    </row>
    <row r="289" spans="4:18" ht="15">
      <c r="D289" s="28" t="s">
        <v>3217</v>
      </c>
      <c r="E289" s="21" t="s">
        <v>1002</v>
      </c>
      <c r="F289" s="20" t="s">
        <v>689</v>
      </c>
      <c r="G289" s="28" t="s">
        <v>3216</v>
      </c>
      <c r="H289" s="20" t="s">
        <v>3607</v>
      </c>
      <c r="I289" s="335">
        <v>1848903.5</v>
      </c>
      <c r="J289" s="335">
        <v>1759052.2</v>
      </c>
      <c r="K289" s="335">
        <v>1877901.5</v>
      </c>
      <c r="L289" s="335">
        <v>2251186.3</v>
      </c>
      <c r="M289" s="335">
        <v>2371525.9</v>
      </c>
      <c r="N289" s="335">
        <v>2712568.7</v>
      </c>
      <c r="O289" s="335">
        <v>2851546.6</v>
      </c>
      <c r="P289" s="335">
        <v>3127542.2</v>
      </c>
      <c r="Q289" s="335">
        <v>3516574</v>
      </c>
      <c r="R289" s="335">
        <v>3782350.5</v>
      </c>
    </row>
    <row r="290" spans="4:18" ht="15">
      <c r="D290" s="20" t="s">
        <v>3219</v>
      </c>
      <c r="E290" s="21" t="s">
        <v>1003</v>
      </c>
      <c r="F290" s="20" t="s">
        <v>689</v>
      </c>
      <c r="G290" s="20" t="s">
        <v>3218</v>
      </c>
      <c r="H290" s="20" t="s">
        <v>3608</v>
      </c>
      <c r="I290" s="335">
        <v>3007108.3</v>
      </c>
      <c r="J290" s="335">
        <v>4064513.6</v>
      </c>
      <c r="K290" s="335">
        <v>4740139.8</v>
      </c>
      <c r="L290" s="335">
        <v>4715718.2</v>
      </c>
      <c r="M290" s="335">
        <v>4764838.1</v>
      </c>
      <c r="N290" s="335">
        <v>4915676.6</v>
      </c>
      <c r="O290" s="335">
        <v>4328931.8</v>
      </c>
      <c r="P290" s="335">
        <v>4908948.5</v>
      </c>
      <c r="Q290" s="335">
        <v>5309554.9</v>
      </c>
      <c r="R290" s="335">
        <v>5197873.1</v>
      </c>
    </row>
    <row r="291" spans="4:18" ht="15">
      <c r="D291" s="28" t="s">
        <v>3219</v>
      </c>
      <c r="E291" s="21" t="s">
        <v>1004</v>
      </c>
      <c r="F291" s="20" t="s">
        <v>689</v>
      </c>
      <c r="G291" s="28" t="s">
        <v>3220</v>
      </c>
      <c r="H291" s="20" t="s">
        <v>3609</v>
      </c>
      <c r="I291" s="335">
        <v>3007108.3</v>
      </c>
      <c r="J291" s="335">
        <v>4064513.6</v>
      </c>
      <c r="K291" s="335">
        <v>4740139.8</v>
      </c>
      <c r="L291" s="335">
        <v>4715718.2</v>
      </c>
      <c r="M291" s="335">
        <v>4764838.1</v>
      </c>
      <c r="N291" s="335">
        <v>4915676.6</v>
      </c>
      <c r="O291" s="335">
        <v>4328931.8</v>
      </c>
      <c r="P291" s="335">
        <v>4908948.5</v>
      </c>
      <c r="Q291" s="335">
        <v>5309554.9</v>
      </c>
      <c r="R291" s="335">
        <v>5197873.1</v>
      </c>
    </row>
    <row r="292" spans="4:18" ht="15">
      <c r="D292" s="20" t="s">
        <v>3222</v>
      </c>
      <c r="E292" s="21" t="s">
        <v>1005</v>
      </c>
      <c r="F292" s="20" t="s">
        <v>689</v>
      </c>
      <c r="G292" s="20" t="s">
        <v>3221</v>
      </c>
      <c r="H292" s="20" t="s">
        <v>3610</v>
      </c>
      <c r="I292" s="335">
        <v>935795.7</v>
      </c>
      <c r="J292" s="335">
        <v>1182301.3</v>
      </c>
      <c r="K292" s="335">
        <v>1338998.4</v>
      </c>
      <c r="L292" s="335">
        <v>1440366.4</v>
      </c>
      <c r="M292" s="335">
        <v>1655215.2</v>
      </c>
      <c r="N292" s="335">
        <v>1769694.4</v>
      </c>
      <c r="O292" s="335">
        <v>1818261.7</v>
      </c>
      <c r="P292" s="335">
        <v>2036591.6</v>
      </c>
      <c r="Q292" s="335">
        <v>2271510.5</v>
      </c>
      <c r="R292" s="335">
        <v>2438139.2</v>
      </c>
    </row>
    <row r="293" spans="4:18" ht="15">
      <c r="D293" s="28" t="s">
        <v>3224</v>
      </c>
      <c r="E293" s="21" t="s">
        <v>1006</v>
      </c>
      <c r="F293" s="20" t="s">
        <v>689</v>
      </c>
      <c r="G293" s="28" t="s">
        <v>3223</v>
      </c>
      <c r="H293" s="20" t="s">
        <v>3611</v>
      </c>
      <c r="I293" s="335">
        <v>587647.4</v>
      </c>
      <c r="J293" s="335">
        <v>827457.3</v>
      </c>
      <c r="K293" s="335">
        <v>949095.9</v>
      </c>
      <c r="L293" s="335">
        <v>1048206.5</v>
      </c>
      <c r="M293" s="335">
        <v>1166527.5</v>
      </c>
      <c r="N293" s="335">
        <v>1208292.1</v>
      </c>
      <c r="O293" s="335">
        <v>1192479.2</v>
      </c>
      <c r="P293" s="335">
        <v>1353352.8</v>
      </c>
      <c r="Q293" s="335">
        <v>1445409.5</v>
      </c>
      <c r="R293" s="335">
        <v>1515117.7</v>
      </c>
    </row>
    <row r="294" spans="4:18" ht="15">
      <c r="D294" s="28" t="s">
        <v>3226</v>
      </c>
      <c r="E294" s="21" t="s">
        <v>1007</v>
      </c>
      <c r="F294" s="20" t="s">
        <v>689</v>
      </c>
      <c r="G294" s="28" t="s">
        <v>3225</v>
      </c>
      <c r="H294" s="20" t="s">
        <v>3612</v>
      </c>
      <c r="I294" s="335">
        <v>348148.3</v>
      </c>
      <c r="J294" s="335">
        <v>354844</v>
      </c>
      <c r="K294" s="335">
        <v>389902.5</v>
      </c>
      <c r="L294" s="335">
        <v>392159.9</v>
      </c>
      <c r="M294" s="335">
        <v>488687.7</v>
      </c>
      <c r="N294" s="335">
        <v>561402.3</v>
      </c>
      <c r="O294" s="335">
        <v>625782.5</v>
      </c>
      <c r="P294" s="335">
        <v>683238.8</v>
      </c>
      <c r="Q294" s="335">
        <v>826101</v>
      </c>
      <c r="R294" s="335">
        <v>923021.5</v>
      </c>
    </row>
    <row r="295" spans="4:18" ht="15">
      <c r="D295" s="20" t="s">
        <v>3228</v>
      </c>
      <c r="E295" s="21" t="s">
        <v>1008</v>
      </c>
      <c r="F295" s="20" t="s">
        <v>689</v>
      </c>
      <c r="G295" s="20" t="s">
        <v>3227</v>
      </c>
      <c r="H295" s="20" t="s">
        <v>3613</v>
      </c>
      <c r="I295" s="335">
        <v>5295849.4</v>
      </c>
      <c r="J295" s="335">
        <v>7337507.1</v>
      </c>
      <c r="K295" s="335">
        <v>8476511.9</v>
      </c>
      <c r="L295" s="335">
        <v>7841120.4</v>
      </c>
      <c r="M295" s="335">
        <v>7727086.9</v>
      </c>
      <c r="N295" s="335">
        <v>7158983.3</v>
      </c>
      <c r="O295" s="335">
        <v>6902938.7</v>
      </c>
      <c r="P295" s="335">
        <v>7757170.8</v>
      </c>
      <c r="Q295" s="335">
        <v>8777875.3</v>
      </c>
      <c r="R295" s="335">
        <v>9060986.8</v>
      </c>
    </row>
    <row r="296" spans="4:18" ht="15">
      <c r="D296" s="28" t="s">
        <v>3230</v>
      </c>
      <c r="E296" s="21" t="s">
        <v>1009</v>
      </c>
      <c r="F296" s="20" t="s">
        <v>689</v>
      </c>
      <c r="G296" s="28" t="s">
        <v>3229</v>
      </c>
      <c r="H296" s="20" t="s">
        <v>3614</v>
      </c>
      <c r="I296" s="335">
        <v>195949.7</v>
      </c>
      <c r="J296" s="335">
        <v>175198.6</v>
      </c>
      <c r="K296" s="335">
        <v>159339.5</v>
      </c>
      <c r="L296" s="335">
        <v>147225.8</v>
      </c>
      <c r="M296" s="335">
        <v>144067.1</v>
      </c>
      <c r="N296" s="335">
        <v>130275.9</v>
      </c>
      <c r="O296" s="335">
        <v>135946.9</v>
      </c>
      <c r="P296" s="335">
        <v>161968.7</v>
      </c>
      <c r="Q296" s="335">
        <v>180403.3</v>
      </c>
      <c r="R296" s="335">
        <v>148974.4</v>
      </c>
    </row>
    <row r="297" spans="4:18" ht="15">
      <c r="D297" s="28" t="s">
        <v>3232</v>
      </c>
      <c r="E297" s="21" t="s">
        <v>1010</v>
      </c>
      <c r="F297" s="20" t="s">
        <v>689</v>
      </c>
      <c r="G297" s="28" t="s">
        <v>3231</v>
      </c>
      <c r="H297" s="20" t="s">
        <v>3615</v>
      </c>
      <c r="I297" s="335">
        <v>2469830.9</v>
      </c>
      <c r="J297" s="335">
        <v>3753348.1</v>
      </c>
      <c r="K297" s="335">
        <v>4454996</v>
      </c>
      <c r="L297" s="335">
        <v>3776063</v>
      </c>
      <c r="M297" s="335">
        <v>3526775.6</v>
      </c>
      <c r="N297" s="335">
        <v>3059660.8</v>
      </c>
      <c r="O297" s="335">
        <v>2665878.5</v>
      </c>
      <c r="P297" s="335">
        <v>2917967.4</v>
      </c>
      <c r="Q297" s="335">
        <v>3515965.5</v>
      </c>
      <c r="R297" s="335">
        <v>3918976</v>
      </c>
    </row>
    <row r="298" spans="4:18" ht="15">
      <c r="D298" s="28" t="s">
        <v>3234</v>
      </c>
      <c r="E298" s="21" t="s">
        <v>1011</v>
      </c>
      <c r="F298" s="20" t="s">
        <v>689</v>
      </c>
      <c r="G298" s="28" t="s">
        <v>3233</v>
      </c>
      <c r="H298" s="20" t="s">
        <v>3616</v>
      </c>
      <c r="I298" s="335">
        <v>1084786.1</v>
      </c>
      <c r="J298" s="335">
        <v>1276839.6</v>
      </c>
      <c r="K298" s="335">
        <v>1334290.3</v>
      </c>
      <c r="L298" s="335">
        <v>1523241.8</v>
      </c>
      <c r="M298" s="335">
        <v>1574151.7</v>
      </c>
      <c r="N298" s="335">
        <v>1556437.7</v>
      </c>
      <c r="O298" s="335">
        <v>1585627.7</v>
      </c>
      <c r="P298" s="335">
        <v>1844519.9</v>
      </c>
      <c r="Q298" s="335">
        <v>1813568.6</v>
      </c>
      <c r="R298" s="335">
        <v>1647282.7</v>
      </c>
    </row>
    <row r="299" spans="4:18" ht="15">
      <c r="D299" s="28" t="s">
        <v>3236</v>
      </c>
      <c r="E299" s="21" t="s">
        <v>1012</v>
      </c>
      <c r="F299" s="20" t="s">
        <v>689</v>
      </c>
      <c r="G299" s="28" t="s">
        <v>3235</v>
      </c>
      <c r="H299" s="20" t="s">
        <v>3617</v>
      </c>
      <c r="I299" s="335">
        <v>44979.5</v>
      </c>
      <c r="J299" s="335">
        <v>62780.9</v>
      </c>
      <c r="K299" s="335">
        <v>96078.4</v>
      </c>
      <c r="L299" s="335">
        <v>113781</v>
      </c>
      <c r="M299" s="335">
        <v>120932.8</v>
      </c>
      <c r="N299" s="335">
        <v>140515.4</v>
      </c>
      <c r="O299" s="335">
        <v>195342.5</v>
      </c>
      <c r="P299" s="335">
        <v>190469.2</v>
      </c>
      <c r="Q299" s="335">
        <v>217486.1</v>
      </c>
      <c r="R299" s="335">
        <v>205731.8</v>
      </c>
    </row>
    <row r="300" spans="4:18" ht="15">
      <c r="D300" s="28" t="s">
        <v>3238</v>
      </c>
      <c r="E300" s="21" t="s">
        <v>1013</v>
      </c>
      <c r="F300" s="20" t="s">
        <v>689</v>
      </c>
      <c r="G300" s="28" t="s">
        <v>3237</v>
      </c>
      <c r="H300" s="20" t="s">
        <v>3618</v>
      </c>
      <c r="I300" s="335">
        <v>161316.4</v>
      </c>
      <c r="J300" s="335">
        <v>268848</v>
      </c>
      <c r="K300" s="335">
        <v>251721.4</v>
      </c>
      <c r="L300" s="335">
        <v>259546.4</v>
      </c>
      <c r="M300" s="335">
        <v>378164.1</v>
      </c>
      <c r="N300" s="335">
        <v>277250.5</v>
      </c>
      <c r="O300" s="335">
        <v>366583.1</v>
      </c>
      <c r="P300" s="335">
        <v>444306.7</v>
      </c>
      <c r="Q300" s="335">
        <v>530459.8</v>
      </c>
      <c r="R300" s="335">
        <v>522114.4</v>
      </c>
    </row>
    <row r="301" spans="4:18" ht="15">
      <c r="D301" s="28" t="s">
        <v>3240</v>
      </c>
      <c r="E301" s="21" t="s">
        <v>1014</v>
      </c>
      <c r="F301" s="20" t="s">
        <v>689</v>
      </c>
      <c r="G301" s="28" t="s">
        <v>3239</v>
      </c>
      <c r="H301" s="20" t="s">
        <v>3619</v>
      </c>
      <c r="I301" s="335">
        <v>183897.5</v>
      </c>
      <c r="J301" s="335">
        <v>211321.2</v>
      </c>
      <c r="K301" s="335">
        <v>234914.4</v>
      </c>
      <c r="L301" s="335">
        <v>223349.9</v>
      </c>
      <c r="M301" s="335">
        <v>167710.6</v>
      </c>
      <c r="N301" s="335">
        <v>174330.6</v>
      </c>
      <c r="O301" s="335">
        <v>210398.5</v>
      </c>
      <c r="P301" s="335">
        <v>302380.3</v>
      </c>
      <c r="Q301" s="335">
        <v>277611.1</v>
      </c>
      <c r="R301" s="335">
        <v>288955.2</v>
      </c>
    </row>
    <row r="302" spans="4:18" ht="15">
      <c r="D302" s="28" t="s">
        <v>3242</v>
      </c>
      <c r="E302" s="21" t="s">
        <v>1015</v>
      </c>
      <c r="F302" s="20" t="s">
        <v>689</v>
      </c>
      <c r="G302" s="28" t="s">
        <v>3241</v>
      </c>
      <c r="H302" s="20" t="s">
        <v>3620</v>
      </c>
      <c r="I302" s="335">
        <v>1155089.3</v>
      </c>
      <c r="J302" s="335">
        <v>1589170.7</v>
      </c>
      <c r="K302" s="335">
        <v>1945171.9</v>
      </c>
      <c r="L302" s="335">
        <v>1797912.5</v>
      </c>
      <c r="M302" s="335">
        <v>1815285</v>
      </c>
      <c r="N302" s="335">
        <v>1820512.4</v>
      </c>
      <c r="O302" s="335">
        <v>1743161.5</v>
      </c>
      <c r="P302" s="335">
        <v>1895558.6</v>
      </c>
      <c r="Q302" s="335">
        <v>2242380.9</v>
      </c>
      <c r="R302" s="335">
        <v>2328952.3</v>
      </c>
    </row>
    <row r="303" spans="4:18" ht="15">
      <c r="D303" s="20" t="s">
        <v>4575</v>
      </c>
      <c r="E303" s="21" t="s">
        <v>1016</v>
      </c>
      <c r="F303" s="20" t="s">
        <v>690</v>
      </c>
      <c r="G303" s="20" t="s">
        <v>690</v>
      </c>
      <c r="H303" s="20" t="s">
        <v>3621</v>
      </c>
      <c r="I303" s="335">
        <v>89445305.3</v>
      </c>
      <c r="J303" s="335">
        <v>102543886.2</v>
      </c>
      <c r="K303" s="335">
        <v>93847281.7</v>
      </c>
      <c r="L303" s="335">
        <v>97627246.2</v>
      </c>
      <c r="M303" s="335">
        <v>102210488.6</v>
      </c>
      <c r="N303" s="335">
        <v>113245451.5</v>
      </c>
      <c r="O303" s="335">
        <v>129616347</v>
      </c>
      <c r="P303" s="335">
        <v>132483688.4</v>
      </c>
      <c r="Q303" s="335">
        <v>136591510.8</v>
      </c>
      <c r="R303" s="335">
        <v>141541949.7</v>
      </c>
    </row>
    <row r="304" spans="4:18" ht="15">
      <c r="D304" s="20" t="s">
        <v>3244</v>
      </c>
      <c r="E304" s="21" t="s">
        <v>1017</v>
      </c>
      <c r="F304" s="20" t="s">
        <v>690</v>
      </c>
      <c r="G304" s="20" t="s">
        <v>3243</v>
      </c>
      <c r="H304" s="20" t="s">
        <v>3622</v>
      </c>
      <c r="I304" s="335">
        <v>44029976</v>
      </c>
      <c r="J304" s="335">
        <v>50133425.3</v>
      </c>
      <c r="K304" s="335">
        <v>43153095.3</v>
      </c>
      <c r="L304" s="335">
        <v>42385972.6</v>
      </c>
      <c r="M304" s="335">
        <v>42185921.7</v>
      </c>
      <c r="N304" s="335">
        <v>46538932</v>
      </c>
      <c r="O304" s="335">
        <v>51751196.4</v>
      </c>
      <c r="P304" s="335">
        <v>53988836.3</v>
      </c>
      <c r="Q304" s="335">
        <v>52993976.8</v>
      </c>
      <c r="R304" s="335">
        <v>55361346.7</v>
      </c>
    </row>
    <row r="305" spans="4:18" ht="15">
      <c r="D305" s="28" t="s">
        <v>3244</v>
      </c>
      <c r="E305" s="21" t="s">
        <v>1018</v>
      </c>
      <c r="F305" s="20" t="s">
        <v>690</v>
      </c>
      <c r="G305" s="28" t="s">
        <v>3245</v>
      </c>
      <c r="H305" s="20" t="s">
        <v>3623</v>
      </c>
      <c r="I305" s="335">
        <v>44029976</v>
      </c>
      <c r="J305" s="335">
        <v>50133425.3</v>
      </c>
      <c r="K305" s="335">
        <v>43153095.3</v>
      </c>
      <c r="L305" s="335">
        <v>42385972.6</v>
      </c>
      <c r="M305" s="335">
        <v>42185921.7</v>
      </c>
      <c r="N305" s="335">
        <v>46538932</v>
      </c>
      <c r="O305" s="335">
        <v>51751196.4</v>
      </c>
      <c r="P305" s="335">
        <v>53988836.3</v>
      </c>
      <c r="Q305" s="335">
        <v>52993976.8</v>
      </c>
      <c r="R305" s="335">
        <v>55361346.7</v>
      </c>
    </row>
    <row r="306" spans="4:18" ht="15">
      <c r="D306" s="20" t="s">
        <v>3247</v>
      </c>
      <c r="E306" s="21" t="s">
        <v>1019</v>
      </c>
      <c r="F306" s="20" t="s">
        <v>690</v>
      </c>
      <c r="G306" s="20" t="s">
        <v>3246</v>
      </c>
      <c r="H306" s="20" t="s">
        <v>3624</v>
      </c>
      <c r="I306" s="335">
        <v>2443285.2</v>
      </c>
      <c r="J306" s="335">
        <v>3352147.8</v>
      </c>
      <c r="K306" s="335">
        <v>3563858.8</v>
      </c>
      <c r="L306" s="335">
        <v>3772026.7</v>
      </c>
      <c r="M306" s="335">
        <v>4069580.3</v>
      </c>
      <c r="N306" s="335">
        <v>4485563.2</v>
      </c>
      <c r="O306" s="335">
        <v>5510967.3</v>
      </c>
      <c r="P306" s="335">
        <v>6461336.1</v>
      </c>
      <c r="Q306" s="335">
        <v>7033410.8</v>
      </c>
      <c r="R306" s="335">
        <v>7334482.6</v>
      </c>
    </row>
    <row r="307" spans="4:18" ht="15">
      <c r="D307" s="28" t="s">
        <v>3247</v>
      </c>
      <c r="E307" s="21" t="s">
        <v>1020</v>
      </c>
      <c r="F307" s="20" t="s">
        <v>690</v>
      </c>
      <c r="G307" s="28" t="s">
        <v>3248</v>
      </c>
      <c r="H307" s="20" t="s">
        <v>3625</v>
      </c>
      <c r="I307" s="335">
        <v>2443285.2</v>
      </c>
      <c r="J307" s="335">
        <v>3352147.8</v>
      </c>
      <c r="K307" s="335">
        <v>3563858.8</v>
      </c>
      <c r="L307" s="335">
        <v>3772026.7</v>
      </c>
      <c r="M307" s="335">
        <v>4069580.3</v>
      </c>
      <c r="N307" s="335">
        <v>4485563.2</v>
      </c>
      <c r="O307" s="335">
        <v>5510967.3</v>
      </c>
      <c r="P307" s="335">
        <v>6461336.1</v>
      </c>
      <c r="Q307" s="335">
        <v>7033410.8</v>
      </c>
      <c r="R307" s="335">
        <v>7334482.6</v>
      </c>
    </row>
    <row r="308" spans="4:18" ht="15">
      <c r="D308" s="20" t="s">
        <v>3250</v>
      </c>
      <c r="E308" s="21" t="s">
        <v>1021</v>
      </c>
      <c r="F308" s="20" t="s">
        <v>690</v>
      </c>
      <c r="G308" s="20" t="s">
        <v>3249</v>
      </c>
      <c r="H308" s="20" t="s">
        <v>3626</v>
      </c>
      <c r="I308" s="335">
        <v>42972044.1</v>
      </c>
      <c r="J308" s="335">
        <v>49058313.1</v>
      </c>
      <c r="K308" s="335">
        <v>47130327.6</v>
      </c>
      <c r="L308" s="335">
        <v>51469246.9</v>
      </c>
      <c r="M308" s="335">
        <v>55954986.6</v>
      </c>
      <c r="N308" s="335">
        <v>62220956.3</v>
      </c>
      <c r="O308" s="335">
        <v>72354183.3</v>
      </c>
      <c r="P308" s="335">
        <v>72033516</v>
      </c>
      <c r="Q308" s="335">
        <v>76564123.2</v>
      </c>
      <c r="R308" s="335">
        <v>78846120.4</v>
      </c>
    </row>
    <row r="309" spans="4:18" ht="15">
      <c r="D309" s="28" t="s">
        <v>3252</v>
      </c>
      <c r="E309" s="21" t="s">
        <v>1022</v>
      </c>
      <c r="F309" s="20" t="s">
        <v>690</v>
      </c>
      <c r="G309" s="28" t="s">
        <v>3251</v>
      </c>
      <c r="H309" s="20" t="s">
        <v>3627</v>
      </c>
      <c r="I309" s="335">
        <v>5007922.6</v>
      </c>
      <c r="J309" s="335">
        <v>5791076.4</v>
      </c>
      <c r="K309" s="335">
        <v>5899352.6</v>
      </c>
      <c r="L309" s="335">
        <v>6299041.5</v>
      </c>
      <c r="M309" s="335">
        <v>6830352.6</v>
      </c>
      <c r="N309" s="335">
        <v>7572517.9</v>
      </c>
      <c r="O309" s="335">
        <v>7469505.7</v>
      </c>
      <c r="P309" s="335">
        <v>7639649.7</v>
      </c>
      <c r="Q309" s="335">
        <v>7248922.5</v>
      </c>
      <c r="R309" s="335">
        <v>7602638.3</v>
      </c>
    </row>
    <row r="310" spans="4:18" ht="15">
      <c r="D310" s="28" t="s">
        <v>3254</v>
      </c>
      <c r="E310" s="21" t="s">
        <v>1023</v>
      </c>
      <c r="F310" s="20" t="s">
        <v>690</v>
      </c>
      <c r="G310" s="28" t="s">
        <v>3253</v>
      </c>
      <c r="H310" s="20" t="s">
        <v>3628</v>
      </c>
      <c r="I310" s="335">
        <v>37964121.5</v>
      </c>
      <c r="J310" s="335">
        <v>43267236.7</v>
      </c>
      <c r="K310" s="335">
        <v>41230975</v>
      </c>
      <c r="L310" s="335">
        <v>45170205.4</v>
      </c>
      <c r="M310" s="335">
        <v>49124634</v>
      </c>
      <c r="N310" s="335">
        <v>54648438.4</v>
      </c>
      <c r="O310" s="335">
        <v>64884677.6</v>
      </c>
      <c r="P310" s="335">
        <v>64393866.3</v>
      </c>
      <c r="Q310" s="335">
        <v>69315200.7</v>
      </c>
      <c r="R310" s="335">
        <v>71243482.1</v>
      </c>
    </row>
    <row r="311" spans="4:18" ht="15">
      <c r="D311" s="20" t="s">
        <v>633</v>
      </c>
      <c r="E311" s="21" t="s">
        <v>1024</v>
      </c>
      <c r="F311" s="20" t="s">
        <v>691</v>
      </c>
      <c r="G311" s="20" t="s">
        <v>691</v>
      </c>
      <c r="H311" s="20" t="s">
        <v>3629</v>
      </c>
      <c r="I311" s="335">
        <v>6903689.4</v>
      </c>
      <c r="J311" s="335">
        <v>9658980</v>
      </c>
      <c r="K311" s="335">
        <v>11553847.6</v>
      </c>
      <c r="L311" s="335">
        <v>12034702.8</v>
      </c>
      <c r="M311" s="335">
        <v>11717227.9</v>
      </c>
      <c r="N311" s="335">
        <v>14647717.3</v>
      </c>
      <c r="O311" s="335">
        <v>12332383.8</v>
      </c>
      <c r="P311" s="335">
        <v>14665134.5</v>
      </c>
      <c r="Q311" s="335">
        <v>16755877.5</v>
      </c>
      <c r="R311" s="335">
        <v>20287249.2</v>
      </c>
    </row>
    <row r="312" spans="4:18" ht="15">
      <c r="D312" s="20" t="s">
        <v>3256</v>
      </c>
      <c r="E312" s="21" t="s">
        <v>1025</v>
      </c>
      <c r="F312" s="20" t="s">
        <v>691</v>
      </c>
      <c r="G312" s="20" t="s">
        <v>3255</v>
      </c>
      <c r="H312" s="20" t="s">
        <v>3630</v>
      </c>
      <c r="I312" s="335">
        <v>1016381.9</v>
      </c>
      <c r="J312" s="335">
        <v>1605601.8</v>
      </c>
      <c r="K312" s="335">
        <v>2246093.3</v>
      </c>
      <c r="L312" s="335">
        <v>2113220</v>
      </c>
      <c r="M312" s="335">
        <v>1457033.9</v>
      </c>
      <c r="N312" s="335">
        <v>1419583.4</v>
      </c>
      <c r="O312" s="335">
        <v>1802139.1</v>
      </c>
      <c r="P312" s="335">
        <v>2338940</v>
      </c>
      <c r="Q312" s="335">
        <v>2579154.3</v>
      </c>
      <c r="R312" s="335">
        <v>3273524.1</v>
      </c>
    </row>
    <row r="313" spans="4:18" ht="15">
      <c r="D313" s="28" t="s">
        <v>3258</v>
      </c>
      <c r="E313" s="21" t="s">
        <v>1026</v>
      </c>
      <c r="F313" s="20" t="s">
        <v>691</v>
      </c>
      <c r="G313" s="28" t="s">
        <v>3257</v>
      </c>
      <c r="H313" s="20" t="s">
        <v>3631</v>
      </c>
      <c r="I313" s="335">
        <v>482747.8</v>
      </c>
      <c r="J313" s="335">
        <v>1058879.8</v>
      </c>
      <c r="K313" s="335">
        <v>1696116.9</v>
      </c>
      <c r="L313" s="335">
        <v>1465858.2</v>
      </c>
      <c r="M313" s="335">
        <v>809618.2</v>
      </c>
      <c r="N313" s="335">
        <v>590771.1</v>
      </c>
      <c r="O313" s="335">
        <v>884849.9</v>
      </c>
      <c r="P313" s="335">
        <v>880402</v>
      </c>
      <c r="Q313" s="335">
        <v>846196.2</v>
      </c>
      <c r="R313" s="335">
        <v>1243504.9</v>
      </c>
    </row>
    <row r="314" spans="4:18" ht="15">
      <c r="D314" s="28" t="s">
        <v>3260</v>
      </c>
      <c r="E314" s="21" t="s">
        <v>1027</v>
      </c>
      <c r="F314" s="20" t="s">
        <v>691</v>
      </c>
      <c r="G314" s="28" t="s">
        <v>3259</v>
      </c>
      <c r="H314" s="20" t="s">
        <v>3632</v>
      </c>
      <c r="I314" s="335">
        <v>533634.1</v>
      </c>
      <c r="J314" s="335">
        <v>546722</v>
      </c>
      <c r="K314" s="335">
        <v>549976.4</v>
      </c>
      <c r="L314" s="335">
        <v>647361.8</v>
      </c>
      <c r="M314" s="335">
        <v>647415.7</v>
      </c>
      <c r="N314" s="335">
        <v>828812.3</v>
      </c>
      <c r="O314" s="335">
        <v>917289.2</v>
      </c>
      <c r="P314" s="335">
        <v>1458538</v>
      </c>
      <c r="Q314" s="335">
        <v>1732958.1</v>
      </c>
      <c r="R314" s="335">
        <v>2030019.2</v>
      </c>
    </row>
    <row r="315" spans="4:18" ht="15">
      <c r="D315" s="20" t="s">
        <v>3262</v>
      </c>
      <c r="E315" s="21" t="s">
        <v>1028</v>
      </c>
      <c r="F315" s="20" t="s">
        <v>691</v>
      </c>
      <c r="G315" s="20" t="s">
        <v>3261</v>
      </c>
      <c r="H315" s="20" t="s">
        <v>3633</v>
      </c>
      <c r="I315" s="335">
        <v>2452938.8</v>
      </c>
      <c r="J315" s="335">
        <v>3873028.5</v>
      </c>
      <c r="K315" s="335">
        <v>3899188.6</v>
      </c>
      <c r="L315" s="335">
        <v>3831932.7</v>
      </c>
      <c r="M315" s="335">
        <v>4067949.9</v>
      </c>
      <c r="N315" s="335">
        <v>6592509.7</v>
      </c>
      <c r="O315" s="335">
        <v>3179238.6</v>
      </c>
      <c r="P315" s="335">
        <v>4315059.9</v>
      </c>
      <c r="Q315" s="335">
        <v>5324351.7</v>
      </c>
      <c r="R315" s="335">
        <v>6426062.9</v>
      </c>
    </row>
    <row r="316" spans="4:18" ht="15">
      <c r="D316" s="28" t="s">
        <v>3262</v>
      </c>
      <c r="E316" s="21" t="s">
        <v>1029</v>
      </c>
      <c r="F316" s="20" t="s">
        <v>691</v>
      </c>
      <c r="G316" s="28" t="s">
        <v>3263</v>
      </c>
      <c r="H316" s="20" t="s">
        <v>3634</v>
      </c>
      <c r="I316" s="335">
        <v>2452938.8</v>
      </c>
      <c r="J316" s="335">
        <v>3873028.5</v>
      </c>
      <c r="K316" s="335">
        <v>3899188.6</v>
      </c>
      <c r="L316" s="335">
        <v>3831932.7</v>
      </c>
      <c r="M316" s="335">
        <v>4067949.9</v>
      </c>
      <c r="N316" s="335">
        <v>6592509.7</v>
      </c>
      <c r="O316" s="335">
        <v>3179238.6</v>
      </c>
      <c r="P316" s="335">
        <v>4315059.9</v>
      </c>
      <c r="Q316" s="335">
        <v>5324351.7</v>
      </c>
      <c r="R316" s="335">
        <v>6426062.9</v>
      </c>
    </row>
    <row r="317" spans="4:18" ht="15">
      <c r="D317" s="20" t="s">
        <v>3265</v>
      </c>
      <c r="E317" s="21" t="s">
        <v>1030</v>
      </c>
      <c r="F317" s="20" t="s">
        <v>691</v>
      </c>
      <c r="G317" s="20" t="s">
        <v>3264</v>
      </c>
      <c r="H317" s="20" t="s">
        <v>3635</v>
      </c>
      <c r="I317" s="335">
        <v>2418082.5</v>
      </c>
      <c r="J317" s="335">
        <v>3095323.2</v>
      </c>
      <c r="K317" s="335">
        <v>4248639.2</v>
      </c>
      <c r="L317" s="335">
        <v>4868135.8</v>
      </c>
      <c r="M317" s="335">
        <v>4855185.9</v>
      </c>
      <c r="N317" s="335">
        <v>5108191</v>
      </c>
      <c r="O317" s="335">
        <v>5500524.1</v>
      </c>
      <c r="P317" s="335">
        <v>6111447.7</v>
      </c>
      <c r="Q317" s="335">
        <v>6837514.7</v>
      </c>
      <c r="R317" s="335">
        <v>8568959.6</v>
      </c>
    </row>
    <row r="318" spans="4:18" ht="15">
      <c r="D318" s="28" t="s">
        <v>3265</v>
      </c>
      <c r="E318" s="21" t="s">
        <v>1031</v>
      </c>
      <c r="F318" s="20" t="s">
        <v>691</v>
      </c>
      <c r="G318" s="28" t="s">
        <v>3266</v>
      </c>
      <c r="H318" s="20" t="s">
        <v>3636</v>
      </c>
      <c r="I318" s="335">
        <v>2418082.5</v>
      </c>
      <c r="J318" s="335">
        <v>3095323.2</v>
      </c>
      <c r="K318" s="335">
        <v>4248639.2</v>
      </c>
      <c r="L318" s="335">
        <v>4868135.8</v>
      </c>
      <c r="M318" s="335">
        <v>4855185.9</v>
      </c>
      <c r="N318" s="335">
        <v>5108191</v>
      </c>
      <c r="O318" s="335">
        <v>5500524.1</v>
      </c>
      <c r="P318" s="335">
        <v>6111447.7</v>
      </c>
      <c r="Q318" s="335">
        <v>6837514.7</v>
      </c>
      <c r="R318" s="335">
        <v>8568959.6</v>
      </c>
    </row>
    <row r="319" spans="4:18" ht="15">
      <c r="D319" s="20" t="s">
        <v>3268</v>
      </c>
      <c r="E319" s="21" t="s">
        <v>1032</v>
      </c>
      <c r="F319" s="20" t="s">
        <v>691</v>
      </c>
      <c r="G319" s="20" t="s">
        <v>3267</v>
      </c>
      <c r="H319" s="20" t="s">
        <v>3637</v>
      </c>
      <c r="I319" s="335">
        <v>1016286.2</v>
      </c>
      <c r="J319" s="335">
        <v>1085026.5</v>
      </c>
      <c r="K319" s="335">
        <v>1159926.5</v>
      </c>
      <c r="L319" s="335">
        <v>1221414.3</v>
      </c>
      <c r="M319" s="335">
        <v>1337058.2</v>
      </c>
      <c r="N319" s="335">
        <v>1527433.2</v>
      </c>
      <c r="O319" s="335">
        <v>1850482</v>
      </c>
      <c r="P319" s="335">
        <v>1899686.9</v>
      </c>
      <c r="Q319" s="335">
        <v>2014856.8</v>
      </c>
      <c r="R319" s="335">
        <v>2018702.6</v>
      </c>
    </row>
    <row r="320" spans="4:18" ht="15">
      <c r="D320" s="28" t="s">
        <v>3270</v>
      </c>
      <c r="E320" s="21" t="s">
        <v>1033</v>
      </c>
      <c r="F320" s="20" t="s">
        <v>691</v>
      </c>
      <c r="G320" s="28" t="s">
        <v>3269</v>
      </c>
      <c r="H320" s="20" t="s">
        <v>3638</v>
      </c>
      <c r="I320" s="335">
        <v>23583.9</v>
      </c>
      <c r="J320" s="335">
        <v>20862.4</v>
      </c>
      <c r="K320" s="335">
        <v>19643.4</v>
      </c>
      <c r="L320" s="335">
        <v>27085.8</v>
      </c>
      <c r="M320" s="335">
        <v>19865.8</v>
      </c>
      <c r="N320" s="335">
        <v>21384</v>
      </c>
      <c r="O320" s="335">
        <v>89492.8</v>
      </c>
      <c r="P320" s="335">
        <v>126412.8</v>
      </c>
      <c r="Q320" s="335">
        <v>247402.7</v>
      </c>
      <c r="R320" s="335">
        <v>261737.6</v>
      </c>
    </row>
    <row r="321" spans="4:18" ht="15">
      <c r="D321" s="28" t="s">
        <v>3272</v>
      </c>
      <c r="E321" s="21" t="s">
        <v>1034</v>
      </c>
      <c r="F321" s="20" t="s">
        <v>691</v>
      </c>
      <c r="G321" s="28" t="s">
        <v>3271</v>
      </c>
      <c r="H321" s="20" t="s">
        <v>3639</v>
      </c>
      <c r="I321" s="335">
        <v>892509.3</v>
      </c>
      <c r="J321" s="335">
        <v>953781.7</v>
      </c>
      <c r="K321" s="335">
        <v>1035089.5</v>
      </c>
      <c r="L321" s="335">
        <v>1063139.1</v>
      </c>
      <c r="M321" s="335">
        <v>1164340.6</v>
      </c>
      <c r="N321" s="335">
        <v>1343113.8</v>
      </c>
      <c r="O321" s="335">
        <v>1583356.4</v>
      </c>
      <c r="P321" s="335">
        <v>1587303.6</v>
      </c>
      <c r="Q321" s="335">
        <v>1556320.7</v>
      </c>
      <c r="R321" s="335">
        <v>1588515</v>
      </c>
    </row>
    <row r="322" spans="4:18" ht="15">
      <c r="D322" s="28" t="s">
        <v>3274</v>
      </c>
      <c r="E322" s="21" t="s">
        <v>1035</v>
      </c>
      <c r="F322" s="20" t="s">
        <v>691</v>
      </c>
      <c r="G322" s="28" t="s">
        <v>3273</v>
      </c>
      <c r="H322" s="20" t="s">
        <v>3640</v>
      </c>
      <c r="I322" s="335">
        <v>100193</v>
      </c>
      <c r="J322" s="335">
        <v>110382.4</v>
      </c>
      <c r="K322" s="335">
        <v>105193.6</v>
      </c>
      <c r="L322" s="335">
        <v>131189.4</v>
      </c>
      <c r="M322" s="335">
        <v>152851.8</v>
      </c>
      <c r="N322" s="335">
        <v>162935.4</v>
      </c>
      <c r="O322" s="335">
        <v>177632.8</v>
      </c>
      <c r="P322" s="335">
        <v>185970.5</v>
      </c>
      <c r="Q322" s="335">
        <v>211133.4</v>
      </c>
      <c r="R322" s="335">
        <v>168450</v>
      </c>
    </row>
    <row r="323" spans="4:18" ht="15">
      <c r="D323" s="20" t="s">
        <v>641</v>
      </c>
      <c r="E323" s="21" t="s">
        <v>1036</v>
      </c>
      <c r="F323" s="20" t="s">
        <v>692</v>
      </c>
      <c r="G323" s="20" t="s">
        <v>692</v>
      </c>
      <c r="H323" s="20" t="s">
        <v>3641</v>
      </c>
      <c r="I323" s="335">
        <v>22972986.2</v>
      </c>
      <c r="J323" s="335">
        <v>25925434.5</v>
      </c>
      <c r="K323" s="335">
        <v>26461864.5</v>
      </c>
      <c r="L323" s="335">
        <v>28267869.7</v>
      </c>
      <c r="M323" s="335">
        <v>32297977.7</v>
      </c>
      <c r="N323" s="335">
        <v>35088359.9</v>
      </c>
      <c r="O323" s="335">
        <v>38732581.3</v>
      </c>
      <c r="P323" s="335">
        <v>41035495.3</v>
      </c>
      <c r="Q323" s="335">
        <v>42859469.3</v>
      </c>
      <c r="R323" s="335">
        <v>43657300.7</v>
      </c>
    </row>
    <row r="324" spans="4:18" ht="15">
      <c r="D324" s="20" t="s">
        <v>3276</v>
      </c>
      <c r="E324" s="21" t="s">
        <v>1037</v>
      </c>
      <c r="F324" s="20" t="s">
        <v>692</v>
      </c>
      <c r="G324" s="20" t="s">
        <v>3275</v>
      </c>
      <c r="H324" s="20" t="s">
        <v>3642</v>
      </c>
      <c r="I324" s="335">
        <v>22972986.2</v>
      </c>
      <c r="J324" s="335">
        <v>25925434.5</v>
      </c>
      <c r="K324" s="335">
        <v>26461864.5</v>
      </c>
      <c r="L324" s="335">
        <v>28267869.7</v>
      </c>
      <c r="M324" s="335">
        <v>32297977.7</v>
      </c>
      <c r="N324" s="335">
        <v>35088359.9</v>
      </c>
      <c r="O324" s="335">
        <v>38732581.3</v>
      </c>
      <c r="P324" s="335">
        <v>41035495.3</v>
      </c>
      <c r="Q324" s="335">
        <v>42859469.3</v>
      </c>
      <c r="R324" s="335">
        <v>43657300.7</v>
      </c>
    </row>
    <row r="325" spans="4:18" ht="15">
      <c r="D325" s="28" t="s">
        <v>3278</v>
      </c>
      <c r="E325" s="21" t="s">
        <v>1038</v>
      </c>
      <c r="F325" s="20" t="s">
        <v>692</v>
      </c>
      <c r="G325" s="28" t="s">
        <v>3277</v>
      </c>
      <c r="H325" s="20" t="s">
        <v>3643</v>
      </c>
      <c r="I325" s="335">
        <v>9973811.4</v>
      </c>
      <c r="J325" s="335">
        <v>11362545.6</v>
      </c>
      <c r="K325" s="335">
        <v>11715190.1</v>
      </c>
      <c r="L325" s="335">
        <v>12427131.4</v>
      </c>
      <c r="M325" s="335">
        <v>14185920.8</v>
      </c>
      <c r="N325" s="335">
        <v>16098460.2</v>
      </c>
      <c r="O325" s="335">
        <v>17716107.8</v>
      </c>
      <c r="P325" s="335">
        <v>19392758.2</v>
      </c>
      <c r="Q325" s="335">
        <v>20032689.2</v>
      </c>
      <c r="R325" s="335">
        <v>19294833.4</v>
      </c>
    </row>
    <row r="326" spans="4:18" ht="15">
      <c r="D326" s="28" t="s">
        <v>3280</v>
      </c>
      <c r="E326" s="21" t="s">
        <v>1039</v>
      </c>
      <c r="F326" s="20" t="s">
        <v>692</v>
      </c>
      <c r="G326" s="28" t="s">
        <v>3279</v>
      </c>
      <c r="H326" s="20" t="s">
        <v>3644</v>
      </c>
      <c r="I326" s="335">
        <v>664143.2</v>
      </c>
      <c r="J326" s="335">
        <v>718695.8</v>
      </c>
      <c r="K326" s="335">
        <v>758166.3</v>
      </c>
      <c r="L326" s="335">
        <v>881320.2</v>
      </c>
      <c r="M326" s="335">
        <v>1126645.5</v>
      </c>
      <c r="N326" s="335">
        <v>1209488.2</v>
      </c>
      <c r="O326" s="335">
        <v>1387344</v>
      </c>
      <c r="P326" s="335">
        <v>1594633</v>
      </c>
      <c r="Q326" s="335">
        <v>1786674</v>
      </c>
      <c r="R326" s="335">
        <v>1945622.8</v>
      </c>
    </row>
    <row r="327" spans="4:18" ht="15">
      <c r="D327" s="28" t="s">
        <v>3282</v>
      </c>
      <c r="E327" s="21" t="s">
        <v>1040</v>
      </c>
      <c r="F327" s="20" t="s">
        <v>692</v>
      </c>
      <c r="G327" s="28" t="s">
        <v>3281</v>
      </c>
      <c r="H327" s="20" t="s">
        <v>3645</v>
      </c>
      <c r="I327" s="335">
        <v>790337.6</v>
      </c>
      <c r="J327" s="335">
        <v>727026.2</v>
      </c>
      <c r="K327" s="335">
        <v>1002190.6</v>
      </c>
      <c r="L327" s="335">
        <v>783212.2</v>
      </c>
      <c r="M327" s="335">
        <v>872036.4</v>
      </c>
      <c r="N327" s="335">
        <v>937576.3</v>
      </c>
      <c r="O327" s="335">
        <v>1106967.4</v>
      </c>
      <c r="P327" s="335">
        <v>997505.7</v>
      </c>
      <c r="Q327" s="335">
        <v>1055123.1</v>
      </c>
      <c r="R327" s="335">
        <v>1125348.8</v>
      </c>
    </row>
    <row r="328" spans="4:18" ht="15">
      <c r="D328" s="28" t="s">
        <v>3284</v>
      </c>
      <c r="E328" s="21" t="s">
        <v>1041</v>
      </c>
      <c r="F328" s="20" t="s">
        <v>692</v>
      </c>
      <c r="G328" s="28" t="s">
        <v>3283</v>
      </c>
      <c r="H328" s="20" t="s">
        <v>3646</v>
      </c>
      <c r="I328" s="335">
        <v>1768860.5</v>
      </c>
      <c r="J328" s="335">
        <v>2230243.2</v>
      </c>
      <c r="K328" s="335">
        <v>2067296.5</v>
      </c>
      <c r="L328" s="335">
        <v>2453870.6</v>
      </c>
      <c r="M328" s="335">
        <v>2801137.2</v>
      </c>
      <c r="N328" s="335">
        <v>3068699.8</v>
      </c>
      <c r="O328" s="335">
        <v>3281213.1</v>
      </c>
      <c r="P328" s="335">
        <v>3364174.2</v>
      </c>
      <c r="Q328" s="335">
        <v>3450840.7</v>
      </c>
      <c r="R328" s="335">
        <v>3751784.6</v>
      </c>
    </row>
    <row r="329" spans="4:18" ht="15">
      <c r="D329" s="28" t="s">
        <v>3286</v>
      </c>
      <c r="E329" s="21" t="s">
        <v>1042</v>
      </c>
      <c r="F329" s="20" t="s">
        <v>692</v>
      </c>
      <c r="G329" s="28" t="s">
        <v>3285</v>
      </c>
      <c r="H329" s="20" t="s">
        <v>3647</v>
      </c>
      <c r="I329" s="335">
        <v>9775833.5</v>
      </c>
      <c r="J329" s="335">
        <v>10886923.7</v>
      </c>
      <c r="K329" s="335">
        <v>10912367.8</v>
      </c>
      <c r="L329" s="335">
        <v>11699491.1</v>
      </c>
      <c r="M329" s="335">
        <v>13312237.8</v>
      </c>
      <c r="N329" s="335">
        <v>13770964.2</v>
      </c>
      <c r="O329" s="335">
        <v>15192263.2</v>
      </c>
      <c r="P329" s="335">
        <v>15682682.2</v>
      </c>
      <c r="Q329" s="335">
        <v>16534142.3</v>
      </c>
      <c r="R329" s="335">
        <v>17539711.1</v>
      </c>
    </row>
    <row r="330" spans="4:18" ht="15">
      <c r="D330" s="20" t="s">
        <v>648</v>
      </c>
      <c r="E330" s="21" t="s">
        <v>1043</v>
      </c>
      <c r="F330" s="20" t="s">
        <v>693</v>
      </c>
      <c r="G330" s="20" t="s">
        <v>693</v>
      </c>
      <c r="H330" s="20" t="s">
        <v>3648</v>
      </c>
      <c r="I330" s="335">
        <v>4691823.8</v>
      </c>
      <c r="J330" s="335">
        <v>4956829.8</v>
      </c>
      <c r="K330" s="335">
        <v>5901239.6</v>
      </c>
      <c r="L330" s="335">
        <v>6485990.7</v>
      </c>
      <c r="M330" s="335">
        <v>7111864.2</v>
      </c>
      <c r="N330" s="335">
        <v>7555064.2</v>
      </c>
      <c r="O330" s="335">
        <v>8433485.9</v>
      </c>
      <c r="P330" s="335">
        <v>9210142.6</v>
      </c>
      <c r="Q330" s="335">
        <v>9317079.7</v>
      </c>
      <c r="R330" s="335">
        <v>9847658.4</v>
      </c>
    </row>
    <row r="331" spans="4:18" ht="15">
      <c r="D331" s="20" t="s">
        <v>3288</v>
      </c>
      <c r="E331" s="21" t="s">
        <v>1044</v>
      </c>
      <c r="F331" s="20" t="s">
        <v>693</v>
      </c>
      <c r="G331" s="20" t="s">
        <v>3287</v>
      </c>
      <c r="H331" s="20" t="s">
        <v>3649</v>
      </c>
      <c r="I331" s="335">
        <v>418309.5</v>
      </c>
      <c r="J331" s="335">
        <v>445533.5</v>
      </c>
      <c r="K331" s="335">
        <v>452849.6</v>
      </c>
      <c r="L331" s="335">
        <v>451853.7</v>
      </c>
      <c r="M331" s="335">
        <v>304976.5</v>
      </c>
      <c r="N331" s="335">
        <v>349162.4</v>
      </c>
      <c r="O331" s="335">
        <v>503704.4</v>
      </c>
      <c r="P331" s="335">
        <v>592730.3</v>
      </c>
      <c r="Q331" s="335">
        <v>672276.5</v>
      </c>
      <c r="R331" s="335">
        <v>475846.4</v>
      </c>
    </row>
    <row r="332" spans="4:18" ht="15">
      <c r="D332" s="28" t="s">
        <v>3290</v>
      </c>
      <c r="E332" s="21" t="s">
        <v>1045</v>
      </c>
      <c r="F332" s="20" t="s">
        <v>693</v>
      </c>
      <c r="G332" s="28" t="s">
        <v>3289</v>
      </c>
      <c r="H332" s="20" t="s">
        <v>3650</v>
      </c>
      <c r="I332" s="336" t="s">
        <v>2740</v>
      </c>
      <c r="J332" s="335" t="s">
        <v>2740</v>
      </c>
      <c r="K332" s="335" t="s">
        <v>2740</v>
      </c>
      <c r="L332" s="335" t="s">
        <v>2740</v>
      </c>
      <c r="M332" s="335" t="s">
        <v>2740</v>
      </c>
      <c r="N332" s="335" t="s">
        <v>2740</v>
      </c>
      <c r="O332" s="335" t="s">
        <v>2740</v>
      </c>
      <c r="P332" s="335" t="s">
        <v>2740</v>
      </c>
      <c r="Q332" s="335" t="s">
        <v>2740</v>
      </c>
      <c r="R332" s="335" t="s">
        <v>2740</v>
      </c>
    </row>
    <row r="333" spans="4:18" ht="15">
      <c r="D333" s="28" t="s">
        <v>3292</v>
      </c>
      <c r="E333" s="21" t="s">
        <v>1046</v>
      </c>
      <c r="F333" s="20" t="s">
        <v>693</v>
      </c>
      <c r="G333" s="28" t="s">
        <v>3291</v>
      </c>
      <c r="H333" s="20" t="s">
        <v>3651</v>
      </c>
      <c r="I333" s="335">
        <v>272535.6</v>
      </c>
      <c r="J333" s="335">
        <v>298271.8</v>
      </c>
      <c r="K333" s="335">
        <v>305040</v>
      </c>
      <c r="L333" s="335">
        <v>312839.7</v>
      </c>
      <c r="M333" s="335">
        <v>190295.6</v>
      </c>
      <c r="N333" s="335">
        <v>207861.4</v>
      </c>
      <c r="O333" s="335">
        <v>243673.3</v>
      </c>
      <c r="P333" s="335">
        <v>408476.8</v>
      </c>
      <c r="Q333" s="335">
        <v>530325.5</v>
      </c>
      <c r="R333" s="335">
        <v>319096.6</v>
      </c>
    </row>
    <row r="334" spans="4:18" ht="15">
      <c r="D334" s="28" t="s">
        <v>3294</v>
      </c>
      <c r="E334" s="21" t="s">
        <v>1047</v>
      </c>
      <c r="F334" s="20" t="s">
        <v>693</v>
      </c>
      <c r="G334" s="28" t="s">
        <v>3293</v>
      </c>
      <c r="H334" s="20" t="s">
        <v>3652</v>
      </c>
      <c r="I334" s="336" t="s">
        <v>2740</v>
      </c>
      <c r="J334" s="335" t="s">
        <v>2740</v>
      </c>
      <c r="K334" s="335" t="s">
        <v>2740</v>
      </c>
      <c r="L334" s="335" t="s">
        <v>2740</v>
      </c>
      <c r="M334" s="335" t="s">
        <v>2740</v>
      </c>
      <c r="N334" s="335" t="s">
        <v>2740</v>
      </c>
      <c r="O334" s="335" t="s">
        <v>2740</v>
      </c>
      <c r="P334" s="335" t="s">
        <v>2740</v>
      </c>
      <c r="Q334" s="335" t="s">
        <v>2740</v>
      </c>
      <c r="R334" s="335" t="s">
        <v>2740</v>
      </c>
    </row>
    <row r="335" spans="4:18" ht="15">
      <c r="D335" s="20" t="s">
        <v>3296</v>
      </c>
      <c r="E335" s="21" t="s">
        <v>1048</v>
      </c>
      <c r="F335" s="20" t="s">
        <v>693</v>
      </c>
      <c r="G335" s="20" t="s">
        <v>3295</v>
      </c>
      <c r="H335" s="20" t="s">
        <v>3653</v>
      </c>
      <c r="I335" s="335">
        <v>15071.8</v>
      </c>
      <c r="J335" s="335">
        <v>15247.8</v>
      </c>
      <c r="K335" s="335">
        <v>17799.8</v>
      </c>
      <c r="L335" s="335">
        <v>17880.4</v>
      </c>
      <c r="M335" s="335">
        <v>19621.3</v>
      </c>
      <c r="N335" s="335">
        <v>22490.2</v>
      </c>
      <c r="O335" s="335">
        <v>25319.6</v>
      </c>
      <c r="P335" s="335">
        <v>30680.9</v>
      </c>
      <c r="Q335" s="335">
        <v>26328</v>
      </c>
      <c r="R335" s="335">
        <v>22693.6</v>
      </c>
    </row>
    <row r="336" spans="4:18" ht="15">
      <c r="D336" s="28" t="s">
        <v>3296</v>
      </c>
      <c r="E336" s="21" t="s">
        <v>1049</v>
      </c>
      <c r="F336" s="20" t="s">
        <v>693</v>
      </c>
      <c r="G336" s="28" t="s">
        <v>3297</v>
      </c>
      <c r="H336" s="20" t="s">
        <v>3654</v>
      </c>
      <c r="I336" s="335">
        <v>15071.8</v>
      </c>
      <c r="J336" s="335">
        <v>15247.8</v>
      </c>
      <c r="K336" s="335">
        <v>17799.8</v>
      </c>
      <c r="L336" s="335">
        <v>17880.4</v>
      </c>
      <c r="M336" s="335">
        <v>19621.3</v>
      </c>
      <c r="N336" s="335">
        <v>22490.2</v>
      </c>
      <c r="O336" s="335">
        <v>25319.6</v>
      </c>
      <c r="P336" s="335">
        <v>30680.9</v>
      </c>
      <c r="Q336" s="335">
        <v>26328</v>
      </c>
      <c r="R336" s="335">
        <v>22693.6</v>
      </c>
    </row>
    <row r="337" spans="4:18" ht="15">
      <c r="D337" s="20" t="s">
        <v>3299</v>
      </c>
      <c r="E337" s="21" t="s">
        <v>1050</v>
      </c>
      <c r="F337" s="20" t="s">
        <v>693</v>
      </c>
      <c r="G337" s="20" t="s">
        <v>3298</v>
      </c>
      <c r="H337" s="20" t="s">
        <v>3655</v>
      </c>
      <c r="I337" s="335">
        <v>165052.8</v>
      </c>
      <c r="J337" s="335">
        <v>176369.4</v>
      </c>
      <c r="K337" s="335">
        <v>155508.8</v>
      </c>
      <c r="L337" s="335">
        <v>175796.5</v>
      </c>
      <c r="M337" s="335">
        <v>199645.6</v>
      </c>
      <c r="N337" s="335">
        <v>182270.9</v>
      </c>
      <c r="O337" s="335">
        <v>177928.8</v>
      </c>
      <c r="P337" s="335">
        <v>211488</v>
      </c>
      <c r="Q337" s="335">
        <v>227305.1</v>
      </c>
      <c r="R337" s="335">
        <v>223653.4</v>
      </c>
    </row>
    <row r="338" spans="4:18" ht="15">
      <c r="D338" s="28" t="s">
        <v>3299</v>
      </c>
      <c r="E338" s="21" t="s">
        <v>1051</v>
      </c>
      <c r="F338" s="20" t="s">
        <v>693</v>
      </c>
      <c r="G338" s="28" t="s">
        <v>3300</v>
      </c>
      <c r="H338" s="20" t="s">
        <v>3656</v>
      </c>
      <c r="I338" s="335">
        <v>165052.8</v>
      </c>
      <c r="J338" s="335">
        <v>176369.4</v>
      </c>
      <c r="K338" s="335">
        <v>155508.8</v>
      </c>
      <c r="L338" s="335">
        <v>175796.5</v>
      </c>
      <c r="M338" s="335">
        <v>199645.6</v>
      </c>
      <c r="N338" s="335">
        <v>182270.9</v>
      </c>
      <c r="O338" s="335">
        <v>177928.8</v>
      </c>
      <c r="P338" s="335">
        <v>211488</v>
      </c>
      <c r="Q338" s="335">
        <v>227305.1</v>
      </c>
      <c r="R338" s="335">
        <v>223653.4</v>
      </c>
    </row>
    <row r="339" spans="4:18" ht="15">
      <c r="D339" s="20" t="s">
        <v>3302</v>
      </c>
      <c r="E339" s="21" t="s">
        <v>1052</v>
      </c>
      <c r="F339" s="20" t="s">
        <v>693</v>
      </c>
      <c r="G339" s="20" t="s">
        <v>3301</v>
      </c>
      <c r="H339" s="20" t="s">
        <v>3657</v>
      </c>
      <c r="I339" s="335">
        <v>328667.8</v>
      </c>
      <c r="J339" s="335">
        <v>355779.6</v>
      </c>
      <c r="K339" s="335">
        <v>539868.1</v>
      </c>
      <c r="L339" s="335">
        <v>563985.3</v>
      </c>
      <c r="M339" s="335">
        <v>573278.9</v>
      </c>
      <c r="N339" s="335">
        <v>644031</v>
      </c>
      <c r="O339" s="335">
        <v>750894.7</v>
      </c>
      <c r="P339" s="335">
        <v>722585.6</v>
      </c>
      <c r="Q339" s="335">
        <v>778533</v>
      </c>
      <c r="R339" s="335">
        <v>885356.3</v>
      </c>
    </row>
    <row r="340" spans="4:18" ht="15">
      <c r="D340" s="28" t="s">
        <v>3302</v>
      </c>
      <c r="E340" s="21" t="s">
        <v>1053</v>
      </c>
      <c r="F340" s="20" t="s">
        <v>693</v>
      </c>
      <c r="G340" s="28" t="s">
        <v>3303</v>
      </c>
      <c r="H340" s="20" t="s">
        <v>3658</v>
      </c>
      <c r="I340" s="335">
        <v>328667.8</v>
      </c>
      <c r="J340" s="335">
        <v>355779.6</v>
      </c>
      <c r="K340" s="335">
        <v>539868.1</v>
      </c>
      <c r="L340" s="335">
        <v>563985.3</v>
      </c>
      <c r="M340" s="335">
        <v>573278.9</v>
      </c>
      <c r="N340" s="335">
        <v>644031</v>
      </c>
      <c r="O340" s="335">
        <v>750894.7</v>
      </c>
      <c r="P340" s="335">
        <v>722585.6</v>
      </c>
      <c r="Q340" s="335">
        <v>778533</v>
      </c>
      <c r="R340" s="335">
        <v>885356.3</v>
      </c>
    </row>
    <row r="341" spans="4:18" ht="15">
      <c r="D341" s="20" t="s">
        <v>3305</v>
      </c>
      <c r="E341" s="21" t="s">
        <v>1054</v>
      </c>
      <c r="F341" s="20" t="s">
        <v>693</v>
      </c>
      <c r="G341" s="20" t="s">
        <v>3304</v>
      </c>
      <c r="H341" s="20" t="s">
        <v>3659</v>
      </c>
      <c r="I341" s="335">
        <v>1880156.7</v>
      </c>
      <c r="J341" s="335">
        <v>1836606.3</v>
      </c>
      <c r="K341" s="335">
        <v>2334106.8</v>
      </c>
      <c r="L341" s="335">
        <v>2546606.5</v>
      </c>
      <c r="M341" s="335">
        <v>2971299.9</v>
      </c>
      <c r="N341" s="335">
        <v>3070294.6</v>
      </c>
      <c r="O341" s="335">
        <v>3375291.9</v>
      </c>
      <c r="P341" s="335">
        <v>3741406.4</v>
      </c>
      <c r="Q341" s="335">
        <v>3752097</v>
      </c>
      <c r="R341" s="335">
        <v>4222976.2</v>
      </c>
    </row>
    <row r="342" spans="4:18" ht="15">
      <c r="D342" s="28" t="s">
        <v>3305</v>
      </c>
      <c r="E342" s="21" t="s">
        <v>1055</v>
      </c>
      <c r="F342" s="20" t="s">
        <v>693</v>
      </c>
      <c r="G342" s="28" t="s">
        <v>3306</v>
      </c>
      <c r="H342" s="20" t="s">
        <v>3660</v>
      </c>
      <c r="I342" s="335">
        <v>1880156.7</v>
      </c>
      <c r="J342" s="335">
        <v>1836606.3</v>
      </c>
      <c r="K342" s="335">
        <v>2334106.8</v>
      </c>
      <c r="L342" s="335">
        <v>2546606.5</v>
      </c>
      <c r="M342" s="335">
        <v>2971299.9</v>
      </c>
      <c r="N342" s="335">
        <v>3070294.6</v>
      </c>
      <c r="O342" s="335">
        <v>3375291.9</v>
      </c>
      <c r="P342" s="335">
        <v>3741406.4</v>
      </c>
      <c r="Q342" s="335">
        <v>3752097</v>
      </c>
      <c r="R342" s="335">
        <v>4222976.2</v>
      </c>
    </row>
    <row r="343" spans="4:18" ht="15">
      <c r="D343" s="20" t="s">
        <v>3308</v>
      </c>
      <c r="E343" s="21" t="s">
        <v>1056</v>
      </c>
      <c r="F343" s="20" t="s">
        <v>693</v>
      </c>
      <c r="G343" s="20" t="s">
        <v>3307</v>
      </c>
      <c r="H343" s="20" t="s">
        <v>3661</v>
      </c>
      <c r="I343" s="335">
        <v>1884565.2</v>
      </c>
      <c r="J343" s="335">
        <v>2127293.2</v>
      </c>
      <c r="K343" s="335">
        <v>2401106.5</v>
      </c>
      <c r="L343" s="335">
        <v>2729868.3</v>
      </c>
      <c r="M343" s="335">
        <v>3043042</v>
      </c>
      <c r="N343" s="335">
        <v>3286815.1</v>
      </c>
      <c r="O343" s="335">
        <v>3600346.5</v>
      </c>
      <c r="P343" s="335">
        <v>3911251.4</v>
      </c>
      <c r="Q343" s="335">
        <v>3860540.1</v>
      </c>
      <c r="R343" s="335">
        <v>4017132.5</v>
      </c>
    </row>
    <row r="344" spans="4:18" ht="15">
      <c r="D344" s="28" t="s">
        <v>3310</v>
      </c>
      <c r="E344" s="21" t="s">
        <v>1057</v>
      </c>
      <c r="F344" s="20" t="s">
        <v>693</v>
      </c>
      <c r="G344" s="28" t="s">
        <v>3309</v>
      </c>
      <c r="H344" s="20" t="s">
        <v>3662</v>
      </c>
      <c r="I344" s="335">
        <v>132579.9</v>
      </c>
      <c r="J344" s="335">
        <v>127883.7</v>
      </c>
      <c r="K344" s="335">
        <v>121546.5</v>
      </c>
      <c r="L344" s="335">
        <v>123220.2</v>
      </c>
      <c r="M344" s="335">
        <v>118805.6</v>
      </c>
      <c r="N344" s="335">
        <v>134181.8</v>
      </c>
      <c r="O344" s="335">
        <v>170809.3</v>
      </c>
      <c r="P344" s="335">
        <v>186966.1</v>
      </c>
      <c r="Q344" s="335">
        <v>210805.2</v>
      </c>
      <c r="R344" s="335">
        <v>215267.7</v>
      </c>
    </row>
    <row r="345" spans="4:18" ht="15">
      <c r="D345" s="28" t="s">
        <v>3312</v>
      </c>
      <c r="E345" s="21" t="s">
        <v>1058</v>
      </c>
      <c r="F345" s="20" t="s">
        <v>693</v>
      </c>
      <c r="G345" s="28" t="s">
        <v>3311</v>
      </c>
      <c r="H345" s="20" t="s">
        <v>3663</v>
      </c>
      <c r="I345" s="335">
        <v>1751985.3</v>
      </c>
      <c r="J345" s="335">
        <v>1999409.5</v>
      </c>
      <c r="K345" s="335">
        <v>2279560</v>
      </c>
      <c r="L345" s="335">
        <v>2606648.1</v>
      </c>
      <c r="M345" s="335">
        <v>2924236.4</v>
      </c>
      <c r="N345" s="335">
        <v>3152633.3</v>
      </c>
      <c r="O345" s="335">
        <v>3429537.2</v>
      </c>
      <c r="P345" s="335">
        <v>3724285.3</v>
      </c>
      <c r="Q345" s="335">
        <v>3649734.9</v>
      </c>
      <c r="R345" s="335">
        <v>3801864.8</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1"/>
  <sheetViews>
    <sheetView workbookViewId="0" topLeftCell="G1">
      <selection activeCell="A34" sqref="A34"/>
    </sheetView>
  </sheetViews>
  <sheetFormatPr defaultColWidth="9.140625" defaultRowHeight="15"/>
  <cols>
    <col min="1" max="1" width="32.57421875" style="71" customWidth="1"/>
    <col min="2" max="2" width="8.57421875" style="71" customWidth="1"/>
    <col min="3" max="3" width="15.57421875" style="74" customWidth="1"/>
    <col min="4" max="4" width="13.8515625" style="81" customWidth="1"/>
    <col min="5" max="5" width="25.57421875" style="71" customWidth="1"/>
    <col min="6" max="24" width="8.8515625" style="71" customWidth="1"/>
    <col min="25" max="383" width="9.140625" style="71" customWidth="1"/>
    <col min="384" max="384" width="10.00390625" style="71" bestFit="1" customWidth="1"/>
    <col min="385" max="400" width="9.140625" style="71" customWidth="1"/>
    <col min="401" max="401" width="10.00390625" style="71" bestFit="1" customWidth="1"/>
    <col min="402" max="16384" width="9.140625" style="71" customWidth="1"/>
  </cols>
  <sheetData>
    <row r="1" spans="1:24" s="88" customFormat="1" ht="48">
      <c r="A1" s="86" t="s">
        <v>4371</v>
      </c>
      <c r="B1" s="86"/>
      <c r="C1" s="360" t="s">
        <v>4408</v>
      </c>
      <c r="D1" s="361" t="s">
        <v>4409</v>
      </c>
      <c r="E1" s="87" t="s">
        <v>3319</v>
      </c>
      <c r="F1" s="83" t="s">
        <v>2724</v>
      </c>
      <c r="G1" s="83" t="s">
        <v>2725</v>
      </c>
      <c r="H1" s="83" t="s">
        <v>2726</v>
      </c>
      <c r="I1" s="83" t="s">
        <v>2727</v>
      </c>
      <c r="J1" s="83" t="s">
        <v>2728</v>
      </c>
      <c r="K1" s="83" t="s">
        <v>2729</v>
      </c>
      <c r="L1" s="83">
        <v>2016</v>
      </c>
      <c r="M1" s="83">
        <v>2017</v>
      </c>
      <c r="N1" s="83">
        <v>2018</v>
      </c>
      <c r="O1" s="83">
        <v>2019</v>
      </c>
      <c r="P1" s="97" t="s">
        <v>2725</v>
      </c>
      <c r="Q1" s="97" t="s">
        <v>2726</v>
      </c>
      <c r="R1" s="97" t="s">
        <v>2727</v>
      </c>
      <c r="S1" s="97" t="s">
        <v>2728</v>
      </c>
      <c r="T1" s="97" t="s">
        <v>2729</v>
      </c>
      <c r="U1" s="97">
        <v>2016</v>
      </c>
      <c r="V1" s="97">
        <v>2017</v>
      </c>
      <c r="W1" s="97">
        <v>2018</v>
      </c>
      <c r="X1" s="363">
        <v>2019</v>
      </c>
    </row>
    <row r="2" spans="1:24" ht="15">
      <c r="A2" s="72" t="s">
        <v>4539</v>
      </c>
      <c r="B2" s="73">
        <f>'Porównaj swoje dane'!W14</f>
        <v>0</v>
      </c>
      <c r="C2" s="74" t="s">
        <v>3952</v>
      </c>
      <c r="D2" s="85" t="s">
        <v>3524</v>
      </c>
      <c r="E2" s="84" t="str">
        <f>'Rob Inne'!A25</f>
        <v>Granulki, odłamki i proszek kamienny (trawertyn, ekausyna, granit, porfir, bazalt, piaskowiec i pozostałe ) - ( t )</v>
      </c>
      <c r="F2" s="84">
        <f>VLOOKUP($E$2,'Tabela PW'!$J:$Q,2,0)</f>
        <v>4637821</v>
      </c>
      <c r="G2" s="84">
        <f>VLOOKUP($E$2,'Tabela PW'!$J:$Q,3,0)</f>
        <v>5625917</v>
      </c>
      <c r="H2" s="84">
        <f>VLOOKUP($E$2,'Tabela PW'!$J:$Q,4,0)</f>
        <v>3033811</v>
      </c>
      <c r="I2" s="84">
        <f>VLOOKUP($E$2,'Tabela PW'!$J:$Q,5,0)</f>
        <v>3648898</v>
      </c>
      <c r="J2" s="84">
        <f>VLOOKUP($E$2,'Tabela PW'!$J:$Q,6,0)</f>
        <v>3923432</v>
      </c>
      <c r="K2" s="84">
        <f>VLOOKUP($E$2,'Tabela PW'!$J:$Q,7,0)</f>
        <v>3135835</v>
      </c>
      <c r="L2" s="84">
        <f>VLOOKUP($E$2,'Tabela PW'!$J:$Q,8,0)</f>
        <v>3122977</v>
      </c>
      <c r="M2" s="84">
        <f>VLOOKUP($E$2,'Tabela PW'!$J:$R,9,0)</f>
        <v>3197932</v>
      </c>
      <c r="N2" s="84">
        <f>VLOOKUP($E$2,'Tabela PW'!$J:$S,10,0)</f>
        <v>3466111</v>
      </c>
      <c r="O2" s="84">
        <f>VLOOKUP($E$2,'Tabela PW'!$J:$T,11,0)</f>
        <v>3418470</v>
      </c>
      <c r="P2" s="98">
        <f aca="true" t="shared" si="0" ref="P2:X2">_xlfn.IFERROR(G2/F2*100,"")</f>
        <v>121.3051775823172</v>
      </c>
      <c r="Q2" s="98">
        <f t="shared" si="0"/>
        <v>53.92562670227805</v>
      </c>
      <c r="R2" s="98">
        <f t="shared" si="0"/>
        <v>120.27440074546503</v>
      </c>
      <c r="S2" s="98">
        <f t="shared" si="0"/>
        <v>107.52375100646825</v>
      </c>
      <c r="T2" s="98">
        <f t="shared" si="0"/>
        <v>79.92581494976847</v>
      </c>
      <c r="U2" s="98">
        <f t="shared" si="0"/>
        <v>99.58996567102541</v>
      </c>
      <c r="V2" s="98">
        <f t="shared" si="0"/>
        <v>102.40011373762918</v>
      </c>
      <c r="W2" s="98">
        <f t="shared" si="0"/>
        <v>108.38601321103762</v>
      </c>
      <c r="X2" s="98">
        <f t="shared" si="0"/>
        <v>98.62552007134221</v>
      </c>
    </row>
    <row r="3" spans="1:21" ht="15">
      <c r="A3" s="72" t="s">
        <v>4590</v>
      </c>
      <c r="B3" s="73">
        <f>O2</f>
        <v>3418470</v>
      </c>
      <c r="C3" s="74" t="s">
        <v>3954</v>
      </c>
      <c r="D3" s="85" t="s">
        <v>3580</v>
      </c>
      <c r="E3" s="92" t="s">
        <v>4410</v>
      </c>
      <c r="F3" s="71" t="str">
        <f aca="true" t="shared" si="1" ref="F3:L3">IF(F2="#",1,"")</f>
        <v/>
      </c>
      <c r="G3" s="71" t="str">
        <f t="shared" si="1"/>
        <v/>
      </c>
      <c r="H3" s="71" t="str">
        <f t="shared" si="1"/>
        <v/>
      </c>
      <c r="I3" s="71" t="str">
        <f t="shared" si="1"/>
        <v/>
      </c>
      <c r="J3" s="71" t="str">
        <f t="shared" si="1"/>
        <v/>
      </c>
      <c r="K3" s="71" t="str">
        <f t="shared" si="1"/>
        <v/>
      </c>
      <c r="L3" s="71" t="str">
        <f t="shared" si="1"/>
        <v/>
      </c>
      <c r="P3" s="71" t="str">
        <f aca="true" t="shared" si="2" ref="P3:U3">IF(P2="X",1,"")</f>
        <v/>
      </c>
      <c r="Q3" s="71" t="str">
        <f t="shared" si="2"/>
        <v/>
      </c>
      <c r="R3" s="71" t="str">
        <f t="shared" si="2"/>
        <v/>
      </c>
      <c r="S3" s="71" t="str">
        <f t="shared" si="2"/>
        <v/>
      </c>
      <c r="T3" s="71" t="str">
        <f t="shared" si="2"/>
        <v/>
      </c>
      <c r="U3" s="71" t="str">
        <f t="shared" si="2"/>
        <v/>
      </c>
    </row>
    <row r="4" spans="1:20" ht="15">
      <c r="A4" s="71" t="s">
        <v>4559</v>
      </c>
      <c r="B4" s="71">
        <f>B3-B2</f>
        <v>3418470</v>
      </c>
      <c r="C4" s="74" t="s">
        <v>3938</v>
      </c>
      <c r="D4" s="85" t="s">
        <v>3428</v>
      </c>
      <c r="E4" s="92" t="s">
        <v>4411</v>
      </c>
      <c r="P4" s="75"/>
      <c r="Q4" s="75"/>
      <c r="R4" s="75"/>
      <c r="S4" s="75"/>
      <c r="T4" s="75"/>
    </row>
    <row r="5" spans="1:24" ht="15">
      <c r="B5" s="71">
        <f>B4</f>
        <v>3418470</v>
      </c>
      <c r="C5" s="74" t="s">
        <v>4225</v>
      </c>
      <c r="D5" s="85" t="s">
        <v>3429</v>
      </c>
      <c r="E5" s="84" t="str">
        <f>'Porównaj swoje dane'!C30</f>
        <v>Mięso z drobiu przetworzone i zakonserwowane - (PKWiU 10.12)</v>
      </c>
      <c r="F5" s="84">
        <f>VLOOKUP($E$5,'Tabela PS'!$H:$O,2,0)</f>
        <v>9207433.3</v>
      </c>
      <c r="G5" s="84">
        <f>VLOOKUP($E$5,'Tabela PS'!$H:$O,3,0)</f>
        <v>10411922.3</v>
      </c>
      <c r="H5" s="84">
        <f>VLOOKUP($E$5,'Tabela PS'!$H:$O,4,0)</f>
        <v>11888821.3</v>
      </c>
      <c r="I5" s="84">
        <f>VLOOKUP($E$5,'Tabela PS'!$H:$O,5,0)</f>
        <v>12646460.3</v>
      </c>
      <c r="J5" s="84">
        <f>VLOOKUP($E$5,'Tabela PS'!$H:$O,6,0)</f>
        <v>13674159.9</v>
      </c>
      <c r="K5" s="84">
        <f>VLOOKUP($E$5,'Tabela PS'!$H:$O,7,0)</f>
        <v>14719818.3</v>
      </c>
      <c r="L5" s="84">
        <f>VLOOKUP($E$5,'Tabela PS'!$H:$O,8,0)</f>
        <v>16306789.2</v>
      </c>
      <c r="M5" s="84">
        <f>VLOOKUP($E$5,'Tabela PS'!$H:$T,9,0)</f>
        <v>17818928.7</v>
      </c>
      <c r="N5" s="84">
        <f>VLOOKUP($E$5,'Tabela PS'!$H:$T,10,0)</f>
        <v>19215574.3</v>
      </c>
      <c r="O5" s="84">
        <f>VLOOKUP($E$5,'Tabela PS'!$H:$T,11,0)</f>
        <v>19985178.4</v>
      </c>
      <c r="P5" s="98">
        <f aca="true" t="shared" si="3" ref="P5:X5">_xlfn.IFERROR(G5/F5*100,"X")</f>
        <v>113.08170215037019</v>
      </c>
      <c r="Q5" s="98">
        <f t="shared" si="3"/>
        <v>114.18469094799141</v>
      </c>
      <c r="R5" s="98">
        <f t="shared" si="3"/>
        <v>106.37270071508267</v>
      </c>
      <c r="S5" s="98">
        <f t="shared" si="3"/>
        <v>108.1263814191549</v>
      </c>
      <c r="T5" s="98">
        <f t="shared" si="3"/>
        <v>107.6469663046722</v>
      </c>
      <c r="U5" s="98">
        <f t="shared" si="3"/>
        <v>110.78118539003977</v>
      </c>
      <c r="V5" s="98">
        <f t="shared" si="3"/>
        <v>109.27306707319183</v>
      </c>
      <c r="W5" s="98">
        <f t="shared" si="3"/>
        <v>107.83798859916871</v>
      </c>
      <c r="X5" s="98">
        <f t="shared" si="3"/>
        <v>104.0051058999574</v>
      </c>
    </row>
    <row r="6" spans="3:24" ht="15">
      <c r="C6" s="74" t="s">
        <v>4226</v>
      </c>
      <c r="D6" s="85" t="s">
        <v>3335</v>
      </c>
      <c r="E6" s="92" t="s">
        <v>4410</v>
      </c>
      <c r="F6" s="71" t="str">
        <f aca="true" t="shared" si="4" ref="F6:O6">IF(F5="#",1,"")</f>
        <v/>
      </c>
      <c r="G6" s="71" t="str">
        <f t="shared" si="4"/>
        <v/>
      </c>
      <c r="H6" s="71" t="str">
        <f t="shared" si="4"/>
        <v/>
      </c>
      <c r="I6" s="71" t="str">
        <f t="shared" si="4"/>
        <v/>
      </c>
      <c r="J6" s="71" t="str">
        <f t="shared" si="4"/>
        <v/>
      </c>
      <c r="K6" s="71" t="str">
        <f t="shared" si="4"/>
        <v/>
      </c>
      <c r="L6" s="71" t="str">
        <f t="shared" si="4"/>
        <v/>
      </c>
      <c r="M6" s="71" t="str">
        <f t="shared" si="4"/>
        <v/>
      </c>
      <c r="N6" s="71" t="str">
        <f t="shared" si="4"/>
        <v/>
      </c>
      <c r="O6" s="71" t="str">
        <f t="shared" si="4"/>
        <v/>
      </c>
      <c r="P6" s="71" t="str">
        <f aca="true" t="shared" si="5" ref="P6:X6">IF(P5="X",1,"")</f>
        <v/>
      </c>
      <c r="Q6" s="71" t="str">
        <f t="shared" si="5"/>
        <v/>
      </c>
      <c r="R6" s="71" t="str">
        <f t="shared" si="5"/>
        <v/>
      </c>
      <c r="S6" s="71" t="str">
        <f t="shared" si="5"/>
        <v/>
      </c>
      <c r="T6" s="71" t="str">
        <f t="shared" si="5"/>
        <v/>
      </c>
      <c r="U6" s="71" t="str">
        <f t="shared" si="5"/>
        <v/>
      </c>
      <c r="V6" s="71" t="str">
        <f t="shared" si="5"/>
        <v/>
      </c>
      <c r="W6" s="71" t="str">
        <f t="shared" si="5"/>
        <v/>
      </c>
      <c r="X6" s="71" t="str">
        <f t="shared" si="5"/>
        <v/>
      </c>
    </row>
    <row r="7" spans="1:5" ht="15">
      <c r="A7" s="72" t="s">
        <v>3695</v>
      </c>
      <c r="B7" s="82">
        <v>143</v>
      </c>
      <c r="C7" s="74" t="s">
        <v>4227</v>
      </c>
      <c r="D7" s="85" t="s">
        <v>3445</v>
      </c>
      <c r="E7" s="92" t="s">
        <v>4411</v>
      </c>
    </row>
    <row r="8" spans="1:4" ht="15">
      <c r="A8" s="70" t="s">
        <v>4372</v>
      </c>
      <c r="B8" s="76"/>
      <c r="C8" s="74" t="s">
        <v>3958</v>
      </c>
      <c r="D8" s="85" t="s">
        <v>3581</v>
      </c>
    </row>
    <row r="9" spans="1:5" ht="12">
      <c r="A9" s="72" t="s">
        <v>4539</v>
      </c>
      <c r="B9" s="89">
        <f>'Porównaj swoje dane'!W36</f>
        <v>1000000</v>
      </c>
      <c r="C9" s="74" t="s">
        <v>4148</v>
      </c>
      <c r="D9" s="85" t="s">
        <v>3582</v>
      </c>
      <c r="E9" s="77"/>
    </row>
    <row r="10" spans="1:5" ht="15">
      <c r="A10" s="72" t="s">
        <v>4590</v>
      </c>
      <c r="B10" s="89">
        <f>O5</f>
        <v>19985178.4</v>
      </c>
      <c r="C10" s="74" t="s">
        <v>4147</v>
      </c>
      <c r="D10" s="85" t="s">
        <v>3400</v>
      </c>
      <c r="E10" s="77"/>
    </row>
    <row r="11" spans="1:5" ht="15">
      <c r="A11" s="71" t="s">
        <v>4559</v>
      </c>
      <c r="B11" s="90">
        <f>B10-B9</f>
        <v>18985178.4</v>
      </c>
      <c r="C11" s="74" t="s">
        <v>3962</v>
      </c>
      <c r="D11" s="85" t="s">
        <v>3652</v>
      </c>
      <c r="E11" s="77"/>
    </row>
    <row r="12" spans="1:5" ht="15">
      <c r="B12" s="90">
        <f>B11</f>
        <v>18985178.4</v>
      </c>
      <c r="C12" s="74" t="s">
        <v>3961</v>
      </c>
      <c r="D12" s="85" t="s">
        <v>3542</v>
      </c>
      <c r="E12" s="78"/>
    </row>
    <row r="13" spans="2:5" ht="15">
      <c r="B13" s="73"/>
      <c r="C13" s="74" t="s">
        <v>4194</v>
      </c>
      <c r="D13" s="85" t="s">
        <v>3543</v>
      </c>
      <c r="E13" s="78"/>
    </row>
    <row r="14" spans="1:5" ht="15">
      <c r="A14" s="72" t="s">
        <v>3696</v>
      </c>
      <c r="B14" s="82">
        <v>111</v>
      </c>
      <c r="C14" s="74" t="s">
        <v>4193</v>
      </c>
      <c r="D14" s="85" t="s">
        <v>3440</v>
      </c>
      <c r="E14" s="78"/>
    </row>
    <row r="15" spans="3:5" ht="15">
      <c r="C15" s="74" t="s">
        <v>4274</v>
      </c>
      <c r="D15" s="85" t="s">
        <v>3441</v>
      </c>
      <c r="E15" s="78"/>
    </row>
    <row r="16" spans="2:5" ht="15">
      <c r="B16" s="95" t="str">
        <f>IF(B2&gt;B3,"Wprowadzono niepoprawną wielkość produkcji firmy. Sprawdź czy wpisano poprawnie dane w określonej jednostce miary lub czy dane były wykazane w sprawozdaniu P-01 za 2016 rok pod odpowiednim symbolem PRODPOL","")</f>
        <v/>
      </c>
      <c r="C16" s="74" t="s">
        <v>3915</v>
      </c>
      <c r="D16" s="85" t="s">
        <v>3490</v>
      </c>
      <c r="E16" s="79"/>
    </row>
    <row r="17" spans="1:5" ht="15">
      <c r="A17" s="72"/>
      <c r="B17" s="95" t="str">
        <f>IF(B9&gt;B10,"Wprowadzono niepoprawną wielkość sprzedaży dla firmy. Sprawdź czy wpisano poprawnie dane w tys. zł lub czy dane były wykazane w sprawozdaniu P-01 za 2016 rok pod odpowiednim symbolem PRODPOL","")</f>
        <v/>
      </c>
      <c r="C17" s="74" t="s">
        <v>3967</v>
      </c>
      <c r="D17" s="85" t="s">
        <v>3498</v>
      </c>
      <c r="E17" s="79"/>
    </row>
    <row r="18" spans="1:5" ht="15">
      <c r="A18" s="72"/>
      <c r="B18" s="72"/>
      <c r="C18" s="74" t="s">
        <v>3968</v>
      </c>
      <c r="D18" s="85" t="s">
        <v>3497</v>
      </c>
      <c r="E18" s="79"/>
    </row>
    <row r="19" spans="3:5" ht="15">
      <c r="C19" s="74" t="s">
        <v>4273</v>
      </c>
      <c r="D19" s="85" t="s">
        <v>3442</v>
      </c>
      <c r="E19" s="79"/>
    </row>
    <row r="20" spans="1:5" ht="15">
      <c r="A20" s="105" t="str">
        <f>INDEX(C:C,B7+1)</f>
        <v>Granulki, odłamki i proszek kamienny (trawertyn, ekausyna, granit, porfir, bazalt, piaskowiec i pozostałe ) - ( t )</v>
      </c>
      <c r="B20" s="105">
        <f>FIND(" - (",'Rob Inne'!A25)</f>
        <v>108</v>
      </c>
      <c r="C20" s="74" t="s">
        <v>4270</v>
      </c>
      <c r="D20" s="85" t="s">
        <v>3443</v>
      </c>
      <c r="E20" s="80"/>
    </row>
    <row r="21" spans="1:5" ht="15">
      <c r="A21" s="71" t="str">
        <f>MID(A20,1,B20-1)</f>
        <v>Granulki, odłamki i proszek kamienny (trawertyn, ekausyna, granit, porfir, bazalt, piaskowiec i pozostałe )</v>
      </c>
      <c r="B21" s="71">
        <f>LEN(A20)</f>
        <v>115</v>
      </c>
      <c r="C21" s="74" t="s">
        <v>4272</v>
      </c>
      <c r="D21" s="85" t="s">
        <v>3360</v>
      </c>
      <c r="E21" s="80"/>
    </row>
    <row r="22" spans="1:5" ht="15">
      <c r="A22" s="71" t="str">
        <f>MID('Rob Inne'!A25,B20+5,LEN('Rob Inne'!A25)-B20-5)</f>
        <v xml:space="preserve">t </v>
      </c>
      <c r="C22" s="74" t="s">
        <v>4271</v>
      </c>
      <c r="D22" s="85" t="s">
        <v>3626</v>
      </c>
      <c r="E22" s="80"/>
    </row>
    <row r="23" spans="3:5" ht="15">
      <c r="C23" s="74" t="s">
        <v>3939</v>
      </c>
      <c r="D23" s="85" t="s">
        <v>3413</v>
      </c>
      <c r="E23" s="80"/>
    </row>
    <row r="24" spans="3:5" ht="15">
      <c r="C24" s="74" t="s">
        <v>3956</v>
      </c>
      <c r="D24" s="85" t="s">
        <v>3414</v>
      </c>
      <c r="E24" s="80"/>
    </row>
    <row r="25" spans="1:5" ht="33.75">
      <c r="A25" s="362" t="str">
        <f>INDEX('Rob Inne'!C:C,'Rob Inne'!B7+1,1)</f>
        <v>Granulki, odłamki i proszek kamienny (trawertyn, ekausyna, granit, porfir, bazalt, piaskowiec i pozostałe ) - ( t )</v>
      </c>
      <c r="C25" s="74" t="s">
        <v>3911</v>
      </c>
      <c r="D25" s="85" t="s">
        <v>3415</v>
      </c>
      <c r="E25" s="80"/>
    </row>
    <row r="26" spans="3:5" ht="15">
      <c r="C26" s="74" t="s">
        <v>3910</v>
      </c>
      <c r="D26" s="85" t="s">
        <v>3521</v>
      </c>
      <c r="E26" s="80"/>
    </row>
    <row r="27" spans="3:5" ht="15">
      <c r="C27" s="74" t="s">
        <v>4332</v>
      </c>
      <c r="D27" s="85" t="s">
        <v>3390</v>
      </c>
      <c r="E27" s="80"/>
    </row>
    <row r="28" spans="3:5" ht="15">
      <c r="C28" s="74" t="s">
        <v>3951</v>
      </c>
      <c r="D28" s="85" t="s">
        <v>3388</v>
      </c>
      <c r="E28" s="80"/>
    </row>
    <row r="29" spans="3:5" ht="15">
      <c r="C29" s="74" t="s">
        <v>3802</v>
      </c>
      <c r="D29" s="85" t="s">
        <v>3561</v>
      </c>
      <c r="E29" s="80"/>
    </row>
    <row r="30" spans="3:5" ht="15">
      <c r="C30" s="74" t="s">
        <v>3916</v>
      </c>
      <c r="D30" s="85" t="s">
        <v>3566</v>
      </c>
      <c r="E30" s="80"/>
    </row>
    <row r="31" spans="3:5" ht="15">
      <c r="C31" s="74" t="s">
        <v>3845</v>
      </c>
      <c r="D31" s="85" t="s">
        <v>3567</v>
      </c>
      <c r="E31" s="80"/>
    </row>
    <row r="32" spans="3:5" ht="15">
      <c r="C32" s="74" t="s">
        <v>3846</v>
      </c>
      <c r="D32" s="85" t="s">
        <v>3560</v>
      </c>
      <c r="E32" s="80"/>
    </row>
    <row r="33" spans="3:5" ht="15">
      <c r="C33" s="74" t="s">
        <v>4130</v>
      </c>
      <c r="D33" s="85" t="s">
        <v>3559</v>
      </c>
      <c r="E33" s="80"/>
    </row>
    <row r="34" spans="3:5" ht="15">
      <c r="C34" s="74" t="s">
        <v>4133</v>
      </c>
      <c r="D34" s="85" t="s">
        <v>3556</v>
      </c>
      <c r="E34" s="80"/>
    </row>
    <row r="35" spans="3:5" ht="15">
      <c r="C35" s="74" t="s">
        <v>4132</v>
      </c>
      <c r="D35" s="85" t="s">
        <v>3453</v>
      </c>
      <c r="E35" s="80"/>
    </row>
    <row r="36" spans="3:5" ht="15">
      <c r="C36" s="74" t="s">
        <v>3869</v>
      </c>
      <c r="D36" s="85" t="s">
        <v>3454</v>
      </c>
      <c r="E36" s="80"/>
    </row>
    <row r="37" spans="3:5" ht="15">
      <c r="C37" s="74" t="s">
        <v>4117</v>
      </c>
      <c r="D37" s="85" t="s">
        <v>3417</v>
      </c>
      <c r="E37" s="80"/>
    </row>
    <row r="38" spans="3:5" ht="15">
      <c r="C38" s="74" t="s">
        <v>4111</v>
      </c>
      <c r="D38" s="85" t="s">
        <v>3444</v>
      </c>
      <c r="E38" s="80"/>
    </row>
    <row r="39" spans="3:5" ht="15">
      <c r="C39" s="74" t="s">
        <v>4112</v>
      </c>
      <c r="D39" s="85" t="s">
        <v>3369</v>
      </c>
      <c r="E39" s="80"/>
    </row>
    <row r="40" spans="3:5" ht="15">
      <c r="C40" s="74" t="s">
        <v>3864</v>
      </c>
      <c r="D40" s="85" t="s">
        <v>3368</v>
      </c>
      <c r="E40" s="80"/>
    </row>
    <row r="41" spans="3:5" ht="15">
      <c r="C41" s="74" t="s">
        <v>3862</v>
      </c>
      <c r="D41" s="85" t="s">
        <v>3367</v>
      </c>
      <c r="E41" s="80"/>
    </row>
    <row r="42" spans="3:5" ht="15">
      <c r="C42" s="74" t="s">
        <v>4300</v>
      </c>
      <c r="D42" s="85" t="s">
        <v>3418</v>
      </c>
      <c r="E42" s="80"/>
    </row>
    <row r="43" spans="3:5" ht="15">
      <c r="C43" s="74" t="s">
        <v>4301</v>
      </c>
      <c r="D43" s="85" t="s">
        <v>3364</v>
      </c>
      <c r="E43" s="80"/>
    </row>
    <row r="44" spans="3:5" ht="15">
      <c r="C44" s="74" t="s">
        <v>3937</v>
      </c>
      <c r="D44" s="85" t="s">
        <v>3389</v>
      </c>
      <c r="E44" s="80"/>
    </row>
    <row r="45" spans="3:5" ht="15">
      <c r="C45" s="74" t="s">
        <v>3944</v>
      </c>
      <c r="D45" s="85" t="s">
        <v>3657</v>
      </c>
      <c r="E45" s="80"/>
    </row>
    <row r="46" spans="3:5" ht="15">
      <c r="C46" s="74" t="s">
        <v>3945</v>
      </c>
      <c r="D46" s="85" t="s">
        <v>3658</v>
      </c>
      <c r="E46" s="80"/>
    </row>
    <row r="47" spans="3:5" ht="15">
      <c r="C47" s="74" t="s">
        <v>4075</v>
      </c>
      <c r="D47" s="85" t="s">
        <v>3538</v>
      </c>
      <c r="E47" s="80"/>
    </row>
    <row r="48" spans="3:4" ht="15">
      <c r="C48" s="74" t="s">
        <v>4074</v>
      </c>
      <c r="D48" s="85" t="s">
        <v>3569</v>
      </c>
    </row>
    <row r="49" spans="3:4" ht="15">
      <c r="C49" s="74" t="s">
        <v>4089</v>
      </c>
      <c r="D49" s="85" t="s">
        <v>3568</v>
      </c>
    </row>
    <row r="50" spans="3:4" ht="15">
      <c r="C50" s="74" t="s">
        <v>4114</v>
      </c>
      <c r="D50" s="85" t="s">
        <v>3653</v>
      </c>
    </row>
    <row r="51" spans="3:4" ht="15">
      <c r="C51" s="74" t="s">
        <v>4091</v>
      </c>
      <c r="D51" s="85" t="s">
        <v>3654</v>
      </c>
    </row>
    <row r="52" spans="3:4" ht="15">
      <c r="C52" s="74" t="s">
        <v>4090</v>
      </c>
      <c r="D52" s="85" t="s">
        <v>3573</v>
      </c>
    </row>
    <row r="53" spans="3:4" ht="15">
      <c r="C53" s="74" t="s">
        <v>4084</v>
      </c>
      <c r="D53" s="85" t="s">
        <v>3574</v>
      </c>
    </row>
    <row r="54" spans="3:4" ht="15">
      <c r="C54" s="74" t="s">
        <v>3997</v>
      </c>
      <c r="D54" s="85" t="s">
        <v>3494</v>
      </c>
    </row>
    <row r="55" spans="3:4" ht="15">
      <c r="C55" s="74" t="s">
        <v>4105</v>
      </c>
      <c r="D55" s="85" t="s">
        <v>3584</v>
      </c>
    </row>
    <row r="56" spans="3:4" ht="15">
      <c r="C56" s="74" t="s">
        <v>4104</v>
      </c>
      <c r="D56" s="85" t="s">
        <v>3361</v>
      </c>
    </row>
    <row r="57" spans="3:4" ht="15">
      <c r="C57" s="74" t="s">
        <v>4106</v>
      </c>
      <c r="D57" s="85" t="s">
        <v>3507</v>
      </c>
    </row>
    <row r="58" spans="3:4" ht="15">
      <c r="C58" s="74" t="s">
        <v>3755</v>
      </c>
      <c r="D58" s="85" t="s">
        <v>3508</v>
      </c>
    </row>
    <row r="59" spans="3:4" ht="15">
      <c r="C59" s="74" t="s">
        <v>3921</v>
      </c>
      <c r="D59" s="85" t="s">
        <v>3328</v>
      </c>
    </row>
    <row r="60" spans="3:4" ht="15">
      <c r="C60" s="74" t="s">
        <v>4239</v>
      </c>
      <c r="D60" s="85" t="s">
        <v>3327</v>
      </c>
    </row>
    <row r="61" spans="3:4" ht="15">
      <c r="C61" s="74" t="s">
        <v>3850</v>
      </c>
      <c r="D61" s="85" t="s">
        <v>3450</v>
      </c>
    </row>
    <row r="62" spans="3:4" ht="15">
      <c r="C62" s="74" t="s">
        <v>4295</v>
      </c>
      <c r="D62" s="85" t="s">
        <v>3362</v>
      </c>
    </row>
    <row r="63" spans="3:4" ht="15">
      <c r="C63" s="74" t="s">
        <v>4346</v>
      </c>
      <c r="D63" s="85" t="s">
        <v>3460</v>
      </c>
    </row>
    <row r="64" spans="3:4" ht="15">
      <c r="C64" s="74" t="s">
        <v>4296</v>
      </c>
      <c r="D64" s="85" t="s">
        <v>3437</v>
      </c>
    </row>
    <row r="65" spans="3:4" ht="15">
      <c r="C65" s="74" t="s">
        <v>4294</v>
      </c>
      <c r="D65" s="85" t="s">
        <v>3562</v>
      </c>
    </row>
    <row r="66" spans="3:4" ht="15">
      <c r="C66" s="74" t="s">
        <v>4370</v>
      </c>
      <c r="D66" s="85" t="s">
        <v>3563</v>
      </c>
    </row>
    <row r="67" spans="3:4" ht="15">
      <c r="C67" s="74" t="s">
        <v>3796</v>
      </c>
      <c r="D67" s="85" t="s">
        <v>3558</v>
      </c>
    </row>
    <row r="68" spans="3:4" ht="15">
      <c r="C68" s="74" t="s">
        <v>3801</v>
      </c>
      <c r="D68" s="85" t="s">
        <v>3535</v>
      </c>
    </row>
    <row r="69" spans="3:4" ht="15">
      <c r="C69" s="74" t="s">
        <v>4150</v>
      </c>
      <c r="D69" s="85" t="s">
        <v>3468</v>
      </c>
    </row>
    <row r="70" spans="3:4" ht="15">
      <c r="C70" s="74" t="s">
        <v>4169</v>
      </c>
      <c r="D70" s="85" t="s">
        <v>3469</v>
      </c>
    </row>
    <row r="71" spans="3:4" ht="15">
      <c r="C71" s="74" t="s">
        <v>4245</v>
      </c>
      <c r="D71" s="85" t="s">
        <v>3351</v>
      </c>
    </row>
    <row r="72" spans="3:4" ht="15">
      <c r="C72" s="74" t="s">
        <v>3798</v>
      </c>
      <c r="D72" s="85" t="s">
        <v>3633</v>
      </c>
    </row>
    <row r="73" spans="3:4" ht="15">
      <c r="C73" s="74" t="s">
        <v>3800</v>
      </c>
      <c r="D73" s="85" t="s">
        <v>3634</v>
      </c>
    </row>
    <row r="74" spans="3:4" ht="15">
      <c r="C74" s="74" t="s">
        <v>3799</v>
      </c>
      <c r="D74" s="85" t="s">
        <v>3632</v>
      </c>
    </row>
    <row r="75" spans="3:4" ht="15">
      <c r="C75" s="74" t="s">
        <v>4094</v>
      </c>
      <c r="D75" s="85" t="s">
        <v>3600</v>
      </c>
    </row>
    <row r="76" spans="3:4" ht="15">
      <c r="C76" s="74" t="s">
        <v>4204</v>
      </c>
      <c r="D76" s="85" t="s">
        <v>3575</v>
      </c>
    </row>
    <row r="77" spans="3:4" ht="15">
      <c r="C77" s="74" t="s">
        <v>4110</v>
      </c>
      <c r="D77" s="85" t="s">
        <v>3576</v>
      </c>
    </row>
    <row r="78" spans="3:4" ht="15">
      <c r="C78" s="74" t="s">
        <v>3722</v>
      </c>
      <c r="D78" s="85" t="s">
        <v>3358</v>
      </c>
    </row>
    <row r="79" spans="3:4" ht="15">
      <c r="C79" s="74" t="s">
        <v>3814</v>
      </c>
      <c r="D79" s="85" t="s">
        <v>3348</v>
      </c>
    </row>
    <row r="80" spans="3:4" ht="15">
      <c r="C80" s="74" t="s">
        <v>4144</v>
      </c>
      <c r="D80" s="85" t="s">
        <v>3503</v>
      </c>
    </row>
    <row r="81" spans="3:4" ht="15">
      <c r="C81" s="74" t="s">
        <v>4145</v>
      </c>
      <c r="D81" s="85" t="s">
        <v>3424</v>
      </c>
    </row>
    <row r="82" spans="3:4" ht="15">
      <c r="C82" s="74" t="s">
        <v>4230</v>
      </c>
      <c r="D82" s="85" t="s">
        <v>3423</v>
      </c>
    </row>
    <row r="83" spans="3:4" ht="15">
      <c r="C83" s="74" t="s">
        <v>4157</v>
      </c>
      <c r="D83" s="85" t="s">
        <v>3615</v>
      </c>
    </row>
    <row r="84" spans="3:4" ht="15">
      <c r="C84" s="74" t="s">
        <v>4155</v>
      </c>
      <c r="D84" s="85" t="s">
        <v>3614</v>
      </c>
    </row>
    <row r="85" spans="3:4" ht="15">
      <c r="C85" s="74" t="s">
        <v>4066</v>
      </c>
      <c r="D85" s="85" t="s">
        <v>3618</v>
      </c>
    </row>
    <row r="86" spans="3:4" ht="15">
      <c r="C86" s="74" t="s">
        <v>3889</v>
      </c>
      <c r="D86" s="85" t="s">
        <v>3617</v>
      </c>
    </row>
    <row r="87" spans="3:4" ht="15">
      <c r="C87" s="74" t="s">
        <v>3871</v>
      </c>
      <c r="D87" s="85" t="s">
        <v>3608</v>
      </c>
    </row>
    <row r="88" spans="3:4" ht="15">
      <c r="C88" s="74" t="s">
        <v>3849</v>
      </c>
      <c r="D88" s="85" t="s">
        <v>3609</v>
      </c>
    </row>
    <row r="89" spans="3:4" ht="15">
      <c r="C89" s="74" t="s">
        <v>4285</v>
      </c>
      <c r="D89" s="85" t="s">
        <v>3619</v>
      </c>
    </row>
    <row r="90" spans="3:4" ht="15">
      <c r="C90" s="74" t="s">
        <v>3767</v>
      </c>
      <c r="D90" s="85" t="s">
        <v>3611</v>
      </c>
    </row>
    <row r="91" spans="3:4" ht="15">
      <c r="C91" s="74" t="s">
        <v>4250</v>
      </c>
      <c r="D91" s="85" t="s">
        <v>3610</v>
      </c>
    </row>
    <row r="92" spans="3:4" ht="15">
      <c r="C92" s="74" t="s">
        <v>4247</v>
      </c>
      <c r="D92" s="85" t="s">
        <v>3604</v>
      </c>
    </row>
    <row r="93" spans="3:4" ht="15">
      <c r="C93" s="74" t="s">
        <v>4248</v>
      </c>
      <c r="D93" s="85" t="s">
        <v>3594</v>
      </c>
    </row>
    <row r="94" spans="3:4" ht="15">
      <c r="C94" s="74" t="s">
        <v>4280</v>
      </c>
      <c r="D94" s="85" t="s">
        <v>3595</v>
      </c>
    </row>
    <row r="95" spans="3:4" ht="15">
      <c r="C95" s="74" t="s">
        <v>4281</v>
      </c>
      <c r="D95" s="85" t="s">
        <v>3616</v>
      </c>
    </row>
    <row r="96" spans="3:4" ht="15">
      <c r="C96" s="74" t="s">
        <v>4249</v>
      </c>
      <c r="D96" s="85" t="s">
        <v>3646</v>
      </c>
    </row>
    <row r="97" spans="3:4" ht="15">
      <c r="C97" s="74" t="s">
        <v>4113</v>
      </c>
      <c r="D97" s="85" t="s">
        <v>3488</v>
      </c>
    </row>
    <row r="98" spans="3:4" ht="15">
      <c r="C98" s="74" t="s">
        <v>4180</v>
      </c>
      <c r="D98" s="85" t="s">
        <v>3459</v>
      </c>
    </row>
    <row r="99" spans="3:4" ht="15">
      <c r="C99" s="74" t="s">
        <v>4181</v>
      </c>
      <c r="D99" s="85" t="s">
        <v>3641</v>
      </c>
    </row>
    <row r="100" spans="3:4" ht="15">
      <c r="C100" s="74" t="s">
        <v>4182</v>
      </c>
      <c r="D100" s="85" t="s">
        <v>3642</v>
      </c>
    </row>
    <row r="101" spans="3:4" ht="15">
      <c r="C101" s="74" t="s">
        <v>4366</v>
      </c>
      <c r="D101" s="85" t="s">
        <v>3644</v>
      </c>
    </row>
    <row r="102" spans="3:4" ht="15">
      <c r="C102" s="74" t="s">
        <v>4367</v>
      </c>
      <c r="D102" s="85" t="s">
        <v>3643</v>
      </c>
    </row>
    <row r="103" spans="3:4" ht="15">
      <c r="C103" s="74" t="s">
        <v>4368</v>
      </c>
      <c r="D103" s="85" t="s">
        <v>3645</v>
      </c>
    </row>
    <row r="104" spans="3:4" ht="15">
      <c r="C104" s="74" t="s">
        <v>4369</v>
      </c>
      <c r="D104" s="85" t="s">
        <v>3512</v>
      </c>
    </row>
    <row r="105" spans="3:4" ht="15">
      <c r="C105" s="74" t="s">
        <v>3935</v>
      </c>
      <c r="D105" s="85" t="s">
        <v>3523</v>
      </c>
    </row>
    <row r="106" spans="3:4" ht="15">
      <c r="C106" s="74" t="s">
        <v>4005</v>
      </c>
      <c r="D106" s="85" t="s">
        <v>3522</v>
      </c>
    </row>
    <row r="107" spans="3:4" ht="15">
      <c r="C107" s="74" t="s">
        <v>4006</v>
      </c>
      <c r="D107" s="85" t="s">
        <v>3534</v>
      </c>
    </row>
    <row r="108" spans="3:4" ht="15">
      <c r="C108" s="74" t="s">
        <v>4007</v>
      </c>
      <c r="D108" s="85" t="s">
        <v>3536</v>
      </c>
    </row>
    <row r="109" spans="3:4" ht="15">
      <c r="C109" s="74" t="s">
        <v>4008</v>
      </c>
      <c r="D109" s="85" t="s">
        <v>3526</v>
      </c>
    </row>
    <row r="110" spans="3:4" ht="15">
      <c r="C110" s="74" t="s">
        <v>4011</v>
      </c>
      <c r="D110" s="85" t="s">
        <v>3336</v>
      </c>
    </row>
    <row r="111" spans="3:4" ht="15">
      <c r="C111" s="74" t="s">
        <v>4012</v>
      </c>
      <c r="D111" s="85" t="s">
        <v>3337</v>
      </c>
    </row>
    <row r="112" spans="3:4" ht="15">
      <c r="C112" s="74" t="s">
        <v>4002</v>
      </c>
      <c r="D112" s="85" t="s">
        <v>3338</v>
      </c>
    </row>
    <row r="113" spans="3:4" ht="15">
      <c r="C113" s="74" t="s">
        <v>4003</v>
      </c>
      <c r="D113" s="85" t="s">
        <v>3331</v>
      </c>
    </row>
    <row r="114" spans="3:4" ht="15">
      <c r="C114" s="74" t="s">
        <v>4009</v>
      </c>
      <c r="D114" s="85" t="s">
        <v>3662</v>
      </c>
    </row>
    <row r="115" spans="3:4" ht="15">
      <c r="C115" s="74" t="s">
        <v>4010</v>
      </c>
      <c r="D115" s="85" t="s">
        <v>3350</v>
      </c>
    </row>
    <row r="116" spans="3:4" ht="15">
      <c r="C116" s="74" t="s">
        <v>4004</v>
      </c>
      <c r="D116" s="85" t="s">
        <v>3650</v>
      </c>
    </row>
    <row r="117" spans="3:4" ht="15">
      <c r="C117" s="74" t="s">
        <v>4015</v>
      </c>
      <c r="D117" s="85" t="s">
        <v>3638</v>
      </c>
    </row>
    <row r="118" spans="3:4" ht="15">
      <c r="C118" s="74" t="s">
        <v>4001</v>
      </c>
      <c r="D118" s="85" t="s">
        <v>3456</v>
      </c>
    </row>
    <row r="119" spans="3:4" ht="15">
      <c r="C119" s="74" t="s">
        <v>3947</v>
      </c>
      <c r="D119" s="85" t="s">
        <v>3455</v>
      </c>
    </row>
    <row r="120" spans="3:4" ht="15">
      <c r="C120" s="74" t="s">
        <v>3948</v>
      </c>
      <c r="D120" s="85" t="s">
        <v>3624</v>
      </c>
    </row>
    <row r="121" spans="3:4" ht="15">
      <c r="C121" s="74" t="s">
        <v>4081</v>
      </c>
      <c r="D121" s="85" t="s">
        <v>3625</v>
      </c>
    </row>
    <row r="122" spans="3:4" ht="15">
      <c r="C122" s="74" t="s">
        <v>4165</v>
      </c>
      <c r="D122" s="85" t="s">
        <v>3370</v>
      </c>
    </row>
    <row r="123" spans="3:4" ht="15">
      <c r="C123" s="74" t="s">
        <v>4166</v>
      </c>
      <c r="D123" s="85" t="s">
        <v>3371</v>
      </c>
    </row>
    <row r="124" spans="3:4" ht="15">
      <c r="C124" s="74" t="s">
        <v>4167</v>
      </c>
      <c r="D124" s="85" t="s">
        <v>3378</v>
      </c>
    </row>
    <row r="125" spans="3:4" ht="15">
      <c r="C125" s="74" t="s">
        <v>4168</v>
      </c>
      <c r="D125" s="85" t="s">
        <v>3372</v>
      </c>
    </row>
    <row r="126" spans="3:4" ht="15">
      <c r="C126" s="74" t="s">
        <v>4320</v>
      </c>
      <c r="D126" s="85" t="s">
        <v>3551</v>
      </c>
    </row>
    <row r="127" spans="3:4" ht="15">
      <c r="C127" s="74" t="s">
        <v>4321</v>
      </c>
      <c r="D127" s="85" t="s">
        <v>3605</v>
      </c>
    </row>
    <row r="128" spans="3:4" ht="15">
      <c r="C128" s="74" t="s">
        <v>4318</v>
      </c>
      <c r="D128" s="85" t="s">
        <v>3448</v>
      </c>
    </row>
    <row r="129" spans="3:4" ht="15">
      <c r="C129" s="74" t="s">
        <v>4319</v>
      </c>
      <c r="D129" s="85" t="s">
        <v>3320</v>
      </c>
    </row>
    <row r="130" spans="3:4" ht="15">
      <c r="C130" s="74" t="s">
        <v>3754</v>
      </c>
      <c r="D130" s="85" t="s">
        <v>3411</v>
      </c>
    </row>
    <row r="131" spans="3:4" ht="15">
      <c r="C131" s="74" t="s">
        <v>3854</v>
      </c>
      <c r="D131" s="85" t="s">
        <v>3412</v>
      </c>
    </row>
    <row r="132" spans="3:4" ht="15">
      <c r="C132" s="74" t="s">
        <v>3707</v>
      </c>
      <c r="D132" s="85" t="s">
        <v>3395</v>
      </c>
    </row>
    <row r="133" spans="3:4" ht="15">
      <c r="C133" s="74" t="s">
        <v>3708</v>
      </c>
      <c r="D133" s="85" t="s">
        <v>3398</v>
      </c>
    </row>
    <row r="134" spans="3:4" ht="15">
      <c r="C134" s="74" t="s">
        <v>4200</v>
      </c>
      <c r="D134" s="85" t="s">
        <v>3397</v>
      </c>
    </row>
    <row r="135" spans="3:4" ht="15">
      <c r="C135" s="74" t="s">
        <v>3718</v>
      </c>
      <c r="D135" s="85" t="s">
        <v>3396</v>
      </c>
    </row>
    <row r="136" spans="3:4" ht="15">
      <c r="C136" s="74" t="s">
        <v>4302</v>
      </c>
      <c r="D136" s="85" t="s">
        <v>3346</v>
      </c>
    </row>
    <row r="137" spans="3:4" ht="15">
      <c r="C137" s="74" t="s">
        <v>3946</v>
      </c>
      <c r="D137" s="85" t="s">
        <v>3347</v>
      </c>
    </row>
    <row r="138" spans="3:4" ht="15">
      <c r="C138" s="74" t="s">
        <v>3730</v>
      </c>
      <c r="D138" s="85" t="s">
        <v>3461</v>
      </c>
    </row>
    <row r="139" spans="3:4" ht="15">
      <c r="C139" s="74" t="s">
        <v>3731</v>
      </c>
      <c r="D139" s="85" t="s">
        <v>3525</v>
      </c>
    </row>
    <row r="140" spans="3:4" ht="15">
      <c r="C140" s="74" t="s">
        <v>4199</v>
      </c>
      <c r="D140" s="85" t="s">
        <v>3420</v>
      </c>
    </row>
    <row r="141" spans="3:4" ht="15">
      <c r="C141" s="74" t="s">
        <v>3816</v>
      </c>
      <c r="D141" s="85" t="s">
        <v>3554</v>
      </c>
    </row>
    <row r="142" spans="3:4" ht="15">
      <c r="C142" s="74" t="s">
        <v>3809</v>
      </c>
      <c r="D142" s="85" t="s">
        <v>3476</v>
      </c>
    </row>
    <row r="143" spans="3:4" ht="15">
      <c r="C143" s="74" t="s">
        <v>3815</v>
      </c>
      <c r="D143" s="85" t="s">
        <v>3472</v>
      </c>
    </row>
    <row r="144" spans="3:4" ht="15">
      <c r="C144" s="74" t="s">
        <v>3728</v>
      </c>
      <c r="D144" s="85" t="s">
        <v>3342</v>
      </c>
    </row>
    <row r="145" spans="3:4" ht="15">
      <c r="C145" s="74" t="s">
        <v>4159</v>
      </c>
      <c r="D145" s="85" t="s">
        <v>3427</v>
      </c>
    </row>
    <row r="146" spans="3:4" ht="15">
      <c r="C146" s="74" t="s">
        <v>4160</v>
      </c>
      <c r="D146" s="85" t="s">
        <v>3425</v>
      </c>
    </row>
    <row r="147" spans="3:4" ht="15">
      <c r="C147" s="74" t="s">
        <v>4177</v>
      </c>
      <c r="D147" s="85" t="s">
        <v>3422</v>
      </c>
    </row>
    <row r="148" spans="3:4" ht="15">
      <c r="C148" s="74" t="s">
        <v>3806</v>
      </c>
      <c r="D148" s="85" t="s">
        <v>3451</v>
      </c>
    </row>
    <row r="149" spans="3:4" ht="15">
      <c r="C149" s="74" t="s">
        <v>4264</v>
      </c>
      <c r="D149" s="85" t="s">
        <v>3452</v>
      </c>
    </row>
    <row r="150" spans="3:4" ht="15">
      <c r="C150" s="74" t="s">
        <v>4102</v>
      </c>
      <c r="D150" s="85" t="s">
        <v>3602</v>
      </c>
    </row>
    <row r="151" spans="3:4" ht="15">
      <c r="C151" s="74" t="s">
        <v>3782</v>
      </c>
      <c r="D151" s="85" t="s">
        <v>3356</v>
      </c>
    </row>
    <row r="152" spans="3:4" ht="15">
      <c r="C152" s="74" t="s">
        <v>4033</v>
      </c>
      <c r="D152" s="85" t="s">
        <v>3376</v>
      </c>
    </row>
    <row r="153" spans="3:4" ht="15">
      <c r="C153" s="74" t="s">
        <v>4235</v>
      </c>
      <c r="D153" s="85" t="s">
        <v>3489</v>
      </c>
    </row>
    <row r="154" spans="3:4" ht="15">
      <c r="C154" s="74" t="s">
        <v>4236</v>
      </c>
      <c r="D154" s="85" t="s">
        <v>3475</v>
      </c>
    </row>
    <row r="155" spans="3:4" ht="15">
      <c r="C155" s="74" t="s">
        <v>4231</v>
      </c>
      <c r="D155" s="85" t="s">
        <v>3466</v>
      </c>
    </row>
    <row r="156" spans="3:4" ht="15">
      <c r="C156" s="74" t="s">
        <v>4232</v>
      </c>
      <c r="D156" s="85" t="s">
        <v>3467</v>
      </c>
    </row>
    <row r="157" spans="3:4" ht="15">
      <c r="C157" s="74" t="s">
        <v>4228</v>
      </c>
      <c r="D157" s="85" t="s">
        <v>3465</v>
      </c>
    </row>
    <row r="158" spans="3:4" ht="15">
      <c r="C158" s="74" t="s">
        <v>4229</v>
      </c>
      <c r="D158" s="85" t="s">
        <v>3621</v>
      </c>
    </row>
    <row r="159" spans="3:4" ht="15">
      <c r="C159" s="74" t="s">
        <v>3729</v>
      </c>
      <c r="D159" s="85" t="s">
        <v>3622</v>
      </c>
    </row>
    <row r="160" spans="3:4" ht="15">
      <c r="C160" s="74" t="s">
        <v>3902</v>
      </c>
      <c r="D160" s="85" t="s">
        <v>3623</v>
      </c>
    </row>
    <row r="161" spans="3:4" ht="15">
      <c r="C161" s="74" t="s">
        <v>4286</v>
      </c>
      <c r="D161" s="85" t="s">
        <v>3553</v>
      </c>
    </row>
    <row r="162" spans="3:4" ht="15">
      <c r="C162" s="74" t="s">
        <v>3789</v>
      </c>
      <c r="D162" s="85" t="s">
        <v>3406</v>
      </c>
    </row>
    <row r="163" spans="3:4" ht="15">
      <c r="C163" s="74" t="s">
        <v>3788</v>
      </c>
      <c r="D163" s="85" t="s">
        <v>3401</v>
      </c>
    </row>
    <row r="164" spans="3:4" ht="15">
      <c r="C164" s="74" t="s">
        <v>3787</v>
      </c>
      <c r="D164" s="85" t="s">
        <v>3399</v>
      </c>
    </row>
    <row r="165" spans="3:4" ht="15">
      <c r="C165" s="74" t="s">
        <v>4154</v>
      </c>
      <c r="D165" s="85" t="s">
        <v>3359</v>
      </c>
    </row>
    <row r="166" spans="3:4" ht="15">
      <c r="C166" s="74" t="s">
        <v>3998</v>
      </c>
      <c r="D166" s="85" t="s">
        <v>3366</v>
      </c>
    </row>
    <row r="167" spans="3:4" ht="15">
      <c r="C167" s="74" t="s">
        <v>3805</v>
      </c>
      <c r="D167" s="85" t="s">
        <v>3628</v>
      </c>
    </row>
    <row r="168" spans="3:4" ht="15">
      <c r="C168" s="74" t="s">
        <v>3783</v>
      </c>
      <c r="D168" s="85" t="s">
        <v>3585</v>
      </c>
    </row>
    <row r="169" spans="3:4" ht="15">
      <c r="C169" s="74" t="s">
        <v>3808</v>
      </c>
      <c r="D169" s="85" t="s">
        <v>3552</v>
      </c>
    </row>
    <row r="170" spans="3:4" ht="15">
      <c r="C170" s="74" t="s">
        <v>3746</v>
      </c>
      <c r="D170" s="85" t="s">
        <v>3557</v>
      </c>
    </row>
    <row r="171" spans="3:4" ht="15">
      <c r="C171" s="74" t="s">
        <v>4024</v>
      </c>
      <c r="D171" s="85" t="s">
        <v>3599</v>
      </c>
    </row>
    <row r="172" spans="3:4" ht="15">
      <c r="C172" s="74" t="s">
        <v>4026</v>
      </c>
      <c r="D172" s="85" t="s">
        <v>3601</v>
      </c>
    </row>
    <row r="173" spans="3:4" ht="15">
      <c r="C173" s="74" t="s">
        <v>4025</v>
      </c>
      <c r="D173" s="85" t="s">
        <v>3607</v>
      </c>
    </row>
    <row r="174" spans="3:4" ht="15">
      <c r="C174" s="74" t="s">
        <v>4289</v>
      </c>
      <c r="D174" s="85" t="s">
        <v>3613</v>
      </c>
    </row>
    <row r="175" spans="3:4" ht="15">
      <c r="C175" s="74" t="s">
        <v>4103</v>
      </c>
      <c r="D175" s="85" t="s">
        <v>3620</v>
      </c>
    </row>
    <row r="176" spans="3:4" ht="15">
      <c r="C176" s="74" t="s">
        <v>3844</v>
      </c>
      <c r="D176" s="85" t="s">
        <v>3647</v>
      </c>
    </row>
    <row r="177" spans="3:4" ht="15">
      <c r="C177" s="74" t="s">
        <v>3905</v>
      </c>
      <c r="D177" s="85" t="s">
        <v>3527</v>
      </c>
    </row>
    <row r="178" spans="3:4" ht="15">
      <c r="C178" s="74" t="s">
        <v>3908</v>
      </c>
      <c r="D178" s="85" t="s">
        <v>3612</v>
      </c>
    </row>
    <row r="179" spans="3:4" ht="15">
      <c r="C179" s="74" t="s">
        <v>3907</v>
      </c>
      <c r="D179" s="85" t="s">
        <v>3345</v>
      </c>
    </row>
    <row r="180" spans="3:4" ht="15">
      <c r="C180" s="74" t="s">
        <v>3906</v>
      </c>
      <c r="D180" s="85" t="s">
        <v>3446</v>
      </c>
    </row>
    <row r="181" spans="3:4" ht="15">
      <c r="C181" s="74" t="s">
        <v>4188</v>
      </c>
      <c r="D181" s="85" t="s">
        <v>3447</v>
      </c>
    </row>
    <row r="182" spans="3:4" ht="15">
      <c r="C182" s="74" t="s">
        <v>4308</v>
      </c>
      <c r="D182" s="85" t="s">
        <v>3598</v>
      </c>
    </row>
    <row r="183" spans="3:4" ht="15">
      <c r="C183" s="74" t="s">
        <v>3711</v>
      </c>
      <c r="D183" s="85" t="s">
        <v>3326</v>
      </c>
    </row>
    <row r="184" spans="3:4" ht="15">
      <c r="C184" s="74" t="s">
        <v>3712</v>
      </c>
      <c r="D184" s="85" t="s">
        <v>3334</v>
      </c>
    </row>
    <row r="185" spans="3:4" ht="15">
      <c r="C185" s="74" t="s">
        <v>3713</v>
      </c>
      <c r="D185" s="85" t="s">
        <v>3485</v>
      </c>
    </row>
    <row r="186" spans="3:4" ht="15">
      <c r="C186" s="74" t="s">
        <v>4254</v>
      </c>
      <c r="D186" s="85" t="s">
        <v>3393</v>
      </c>
    </row>
    <row r="187" spans="3:4" ht="15">
      <c r="C187" s="74" t="s">
        <v>3747</v>
      </c>
      <c r="D187" s="85" t="s">
        <v>3435</v>
      </c>
    </row>
    <row r="188" spans="3:4" ht="15">
      <c r="C188" s="74" t="s">
        <v>3750</v>
      </c>
      <c r="D188" s="85" t="s">
        <v>3648</v>
      </c>
    </row>
    <row r="189" spans="3:4" ht="15">
      <c r="C189" s="74" t="s">
        <v>3753</v>
      </c>
      <c r="D189" s="85" t="s">
        <v>3496</v>
      </c>
    </row>
    <row r="190" spans="3:4" ht="15">
      <c r="C190" s="74" t="s">
        <v>3765</v>
      </c>
      <c r="D190" s="85" t="s">
        <v>3495</v>
      </c>
    </row>
    <row r="191" spans="3:4" ht="15">
      <c r="C191" s="74" t="s">
        <v>4348</v>
      </c>
      <c r="D191" s="85" t="s">
        <v>3458</v>
      </c>
    </row>
    <row r="192" spans="3:4" ht="15">
      <c r="C192" s="74" t="s">
        <v>4307</v>
      </c>
      <c r="D192" s="85" t="s">
        <v>3462</v>
      </c>
    </row>
    <row r="193" spans="3:4" ht="15">
      <c r="C193" s="74" t="s">
        <v>4306</v>
      </c>
      <c r="D193" s="85" t="s">
        <v>3419</v>
      </c>
    </row>
    <row r="194" spans="3:4" ht="15">
      <c r="C194" s="74" t="s">
        <v>4022</v>
      </c>
      <c r="D194" s="85" t="s">
        <v>3387</v>
      </c>
    </row>
    <row r="195" spans="3:4" ht="15">
      <c r="C195" s="74" t="s">
        <v>3857</v>
      </c>
      <c r="D195" s="85" t="s">
        <v>3374</v>
      </c>
    </row>
    <row r="196" spans="3:4" ht="15">
      <c r="C196" s="74" t="s">
        <v>3853</v>
      </c>
      <c r="D196" s="85" t="s">
        <v>3506</v>
      </c>
    </row>
    <row r="197" spans="3:4" ht="15">
      <c r="C197" s="74" t="s">
        <v>3863</v>
      </c>
      <c r="D197" s="85" t="s">
        <v>3421</v>
      </c>
    </row>
    <row r="198" spans="3:4" ht="15">
      <c r="C198" s="74" t="s">
        <v>3861</v>
      </c>
      <c r="D198" s="85" t="s">
        <v>3473</v>
      </c>
    </row>
    <row r="199" spans="3:4" ht="15">
      <c r="C199" s="74" t="s">
        <v>4176</v>
      </c>
      <c r="D199" s="85" t="s">
        <v>3511</v>
      </c>
    </row>
    <row r="200" spans="3:4" ht="15">
      <c r="C200" s="74" t="s">
        <v>3720</v>
      </c>
      <c r="D200" s="85" t="s">
        <v>3431</v>
      </c>
    </row>
    <row r="201" spans="3:4" ht="15">
      <c r="C201" s="74" t="s">
        <v>3721</v>
      </c>
      <c r="D201" s="85" t="s">
        <v>3491</v>
      </c>
    </row>
    <row r="202" spans="3:4" ht="15">
      <c r="C202" s="74" t="s">
        <v>4252</v>
      </c>
      <c r="D202" s="85" t="s">
        <v>3478</v>
      </c>
    </row>
    <row r="203" spans="3:4" ht="15">
      <c r="C203" s="74" t="s">
        <v>4251</v>
      </c>
      <c r="D203" s="85" t="s">
        <v>3517</v>
      </c>
    </row>
    <row r="204" spans="3:4" ht="15">
      <c r="C204" s="74" t="s">
        <v>4299</v>
      </c>
      <c r="D204" s="85" t="s">
        <v>3663</v>
      </c>
    </row>
    <row r="205" spans="3:4" ht="15">
      <c r="C205" s="74" t="s">
        <v>3740</v>
      </c>
      <c r="D205" s="85" t="s">
        <v>3539</v>
      </c>
    </row>
    <row r="206" spans="3:4" ht="15">
      <c r="C206" s="74" t="s">
        <v>3717</v>
      </c>
      <c r="D206" s="85" t="s">
        <v>3592</v>
      </c>
    </row>
    <row r="207" spans="3:4" ht="15">
      <c r="C207" s="74" t="s">
        <v>3960</v>
      </c>
      <c r="D207" s="85" t="s">
        <v>3593</v>
      </c>
    </row>
    <row r="208" spans="3:4" ht="15">
      <c r="C208" s="74" t="s">
        <v>3925</v>
      </c>
      <c r="D208" s="85" t="s">
        <v>3640</v>
      </c>
    </row>
    <row r="209" spans="3:4" ht="15">
      <c r="C209" s="74" t="s">
        <v>3949</v>
      </c>
      <c r="D209" s="85" t="s">
        <v>3518</v>
      </c>
    </row>
    <row r="210" spans="3:4" ht="15">
      <c r="C210" s="74" t="s">
        <v>3950</v>
      </c>
      <c r="D210" s="85" t="s">
        <v>3629</v>
      </c>
    </row>
    <row r="211" spans="3:4" ht="15">
      <c r="C211" s="74" t="s">
        <v>3923</v>
      </c>
      <c r="D211" s="85" t="s">
        <v>3330</v>
      </c>
    </row>
    <row r="212" spans="3:4" ht="15">
      <c r="C212" s="74" t="s">
        <v>3922</v>
      </c>
      <c r="D212" s="85" t="s">
        <v>3438</v>
      </c>
    </row>
    <row r="213" spans="3:4" ht="15">
      <c r="C213" s="74" t="s">
        <v>3999</v>
      </c>
      <c r="D213" s="85" t="s">
        <v>3439</v>
      </c>
    </row>
    <row r="214" spans="3:4" ht="15">
      <c r="C214" s="74" t="s">
        <v>3830</v>
      </c>
      <c r="D214" s="85" t="s">
        <v>3353</v>
      </c>
    </row>
    <row r="215" spans="3:4" ht="15">
      <c r="C215" s="74" t="s">
        <v>4202</v>
      </c>
      <c r="D215" s="85" t="s">
        <v>3352</v>
      </c>
    </row>
    <row r="216" spans="3:4" ht="15">
      <c r="C216" s="74" t="s">
        <v>3784</v>
      </c>
      <c r="D216" s="85" t="s">
        <v>3606</v>
      </c>
    </row>
    <row r="217" spans="3:4" ht="15">
      <c r="C217" s="74" t="s">
        <v>4179</v>
      </c>
      <c r="D217" s="85" t="s">
        <v>3365</v>
      </c>
    </row>
    <row r="218" spans="3:4" ht="15">
      <c r="C218" s="74" t="s">
        <v>4352</v>
      </c>
      <c r="D218" s="85" t="s">
        <v>3583</v>
      </c>
    </row>
    <row r="219" spans="3:4" ht="15">
      <c r="C219" s="74" t="s">
        <v>4276</v>
      </c>
      <c r="D219" s="85" t="s">
        <v>3383</v>
      </c>
    </row>
    <row r="220" spans="3:4" ht="15">
      <c r="C220" s="74" t="s">
        <v>4278</v>
      </c>
      <c r="D220" s="85" t="s">
        <v>3384</v>
      </c>
    </row>
    <row r="221" spans="3:4" ht="15">
      <c r="C221" s="74" t="s">
        <v>4277</v>
      </c>
      <c r="D221" s="85" t="s">
        <v>3363</v>
      </c>
    </row>
    <row r="222" spans="3:4" ht="15">
      <c r="C222" s="74" t="s">
        <v>3732</v>
      </c>
      <c r="D222" s="85" t="s">
        <v>3639</v>
      </c>
    </row>
    <row r="223" spans="3:4" ht="15">
      <c r="C223" s="74" t="s">
        <v>3810</v>
      </c>
      <c r="D223" s="85" t="s">
        <v>3515</v>
      </c>
    </row>
    <row r="224" spans="3:4" ht="15">
      <c r="C224" s="74" t="s">
        <v>3795</v>
      </c>
      <c r="D224" s="85" t="s">
        <v>3516</v>
      </c>
    </row>
    <row r="225" spans="3:4" ht="15">
      <c r="C225" s="74" t="s">
        <v>3771</v>
      </c>
      <c r="D225" s="85" t="s">
        <v>3340</v>
      </c>
    </row>
    <row r="226" spans="3:4" ht="15">
      <c r="C226" s="74" t="s">
        <v>3855</v>
      </c>
      <c r="D226" s="85" t="s">
        <v>3341</v>
      </c>
    </row>
    <row r="227" spans="3:4" ht="15">
      <c r="C227" s="74" t="s">
        <v>3766</v>
      </c>
      <c r="D227" s="85" t="s">
        <v>3579</v>
      </c>
    </row>
    <row r="228" spans="3:4" ht="15">
      <c r="C228" s="74" t="s">
        <v>4118</v>
      </c>
      <c r="D228" s="85" t="s">
        <v>3578</v>
      </c>
    </row>
    <row r="229" spans="3:4" ht="15">
      <c r="C229" s="74" t="s">
        <v>3891</v>
      </c>
      <c r="D229" s="85" t="s">
        <v>3596</v>
      </c>
    </row>
    <row r="230" spans="3:4" ht="15">
      <c r="C230" s="74" t="s">
        <v>3777</v>
      </c>
      <c r="D230" s="85" t="s">
        <v>3407</v>
      </c>
    </row>
    <row r="231" spans="3:4" ht="15">
      <c r="C231" s="74" t="s">
        <v>3892</v>
      </c>
      <c r="D231" s="85" t="s">
        <v>3409</v>
      </c>
    </row>
    <row r="232" spans="3:4" ht="15">
      <c r="C232" s="74" t="s">
        <v>4192</v>
      </c>
      <c r="D232" s="85" t="s">
        <v>3408</v>
      </c>
    </row>
    <row r="233" spans="3:4" ht="15">
      <c r="C233" s="74" t="s">
        <v>4324</v>
      </c>
      <c r="D233" s="85" t="s">
        <v>3354</v>
      </c>
    </row>
    <row r="234" spans="3:4" ht="15">
      <c r="C234" s="74" t="s">
        <v>4338</v>
      </c>
      <c r="D234" s="85" t="s">
        <v>3377</v>
      </c>
    </row>
    <row r="235" spans="3:4" ht="15">
      <c r="C235" s="74" t="s">
        <v>4329</v>
      </c>
      <c r="D235" s="85" t="s">
        <v>3344</v>
      </c>
    </row>
    <row r="236" spans="3:4" ht="15">
      <c r="C236" s="74" t="s">
        <v>4330</v>
      </c>
      <c r="D236" s="85" t="s">
        <v>3333</v>
      </c>
    </row>
    <row r="237" spans="3:4" ht="15">
      <c r="C237" s="74" t="s">
        <v>4327</v>
      </c>
      <c r="D237" s="85" t="s">
        <v>3589</v>
      </c>
    </row>
    <row r="238" spans="3:4" ht="15">
      <c r="C238" s="74" t="s">
        <v>4331</v>
      </c>
      <c r="D238" s="85" t="s">
        <v>3590</v>
      </c>
    </row>
    <row r="239" spans="3:4" ht="15">
      <c r="C239" s="74" t="s">
        <v>4328</v>
      </c>
      <c r="D239" s="85" t="s">
        <v>3591</v>
      </c>
    </row>
    <row r="240" spans="3:4" ht="15">
      <c r="C240" s="74" t="s">
        <v>4014</v>
      </c>
      <c r="D240" s="85" t="s">
        <v>3597</v>
      </c>
    </row>
    <row r="241" spans="3:4" ht="15">
      <c r="C241" s="74" t="s">
        <v>4080</v>
      </c>
      <c r="D241" s="85" t="s">
        <v>3586</v>
      </c>
    </row>
    <row r="242" spans="3:4" ht="15">
      <c r="C242" s="74" t="s">
        <v>3785</v>
      </c>
      <c r="D242" s="85" t="s">
        <v>3587</v>
      </c>
    </row>
    <row r="243" spans="3:4" ht="15">
      <c r="C243" s="74" t="s">
        <v>3786</v>
      </c>
      <c r="D243" s="85" t="s">
        <v>3588</v>
      </c>
    </row>
    <row r="244" spans="3:4" ht="15">
      <c r="C244" s="74" t="s">
        <v>4359</v>
      </c>
      <c r="D244" s="85" t="s">
        <v>3655</v>
      </c>
    </row>
    <row r="245" spans="3:4" ht="15">
      <c r="C245" s="74" t="s">
        <v>4360</v>
      </c>
      <c r="D245" s="85" t="s">
        <v>3656</v>
      </c>
    </row>
    <row r="246" spans="3:4" ht="15">
      <c r="C246" s="74" t="s">
        <v>4361</v>
      </c>
      <c r="D246" s="85" t="s">
        <v>3564</v>
      </c>
    </row>
    <row r="247" spans="3:4" ht="15">
      <c r="C247" s="74" t="s">
        <v>4362</v>
      </c>
      <c r="D247" s="85" t="s">
        <v>3565</v>
      </c>
    </row>
    <row r="248" spans="3:4" ht="15">
      <c r="C248" s="74" t="s">
        <v>4364</v>
      </c>
      <c r="D248" s="85" t="s">
        <v>3637</v>
      </c>
    </row>
    <row r="249" spans="3:4" ht="15">
      <c r="C249" s="74" t="s">
        <v>4363</v>
      </c>
      <c r="D249" s="85" t="s">
        <v>3631</v>
      </c>
    </row>
    <row r="250" spans="3:4" ht="15">
      <c r="C250" s="74" t="s">
        <v>3797</v>
      </c>
      <c r="D250" s="85" t="s">
        <v>3630</v>
      </c>
    </row>
    <row r="251" spans="3:4" ht="15">
      <c r="C251" s="74" t="s">
        <v>3953</v>
      </c>
      <c r="D251" s="85" t="s">
        <v>3635</v>
      </c>
    </row>
    <row r="252" spans="3:4" ht="15">
      <c r="C252" s="74" t="s">
        <v>3943</v>
      </c>
      <c r="D252" s="85" t="s">
        <v>3636</v>
      </c>
    </row>
    <row r="253" spans="3:4" ht="15">
      <c r="C253" s="74" t="s">
        <v>4151</v>
      </c>
      <c r="D253" s="85" t="s">
        <v>3357</v>
      </c>
    </row>
    <row r="254" spans="3:4" ht="15">
      <c r="C254" s="74" t="s">
        <v>4152</v>
      </c>
      <c r="D254" s="85" t="s">
        <v>3483</v>
      </c>
    </row>
    <row r="255" spans="3:4" ht="15">
      <c r="C255" s="74" t="s">
        <v>4153</v>
      </c>
      <c r="D255" s="85" t="s">
        <v>3480</v>
      </c>
    </row>
    <row r="256" spans="3:4" ht="15">
      <c r="C256" s="74" t="s">
        <v>3969</v>
      </c>
      <c r="D256" s="85" t="s">
        <v>3481</v>
      </c>
    </row>
    <row r="257" spans="3:4" ht="15">
      <c r="C257" s="74" t="s">
        <v>3970</v>
      </c>
      <c r="D257" s="85" t="s">
        <v>3482</v>
      </c>
    </row>
    <row r="258" spans="3:4" ht="15">
      <c r="C258" s="74" t="s">
        <v>3971</v>
      </c>
      <c r="D258" s="85" t="s">
        <v>3430</v>
      </c>
    </row>
    <row r="259" spans="3:4" ht="15">
      <c r="C259" s="74" t="s">
        <v>3972</v>
      </c>
      <c r="D259" s="85" t="s">
        <v>3385</v>
      </c>
    </row>
    <row r="260" spans="3:4" ht="15">
      <c r="C260" s="74" t="s">
        <v>3973</v>
      </c>
      <c r="D260" s="85" t="s">
        <v>3386</v>
      </c>
    </row>
    <row r="261" spans="3:4" ht="15">
      <c r="C261" s="74" t="s">
        <v>3974</v>
      </c>
      <c r="D261" s="85" t="s">
        <v>3332</v>
      </c>
    </row>
    <row r="262" spans="3:4" ht="15">
      <c r="C262" s="74" t="s">
        <v>4027</v>
      </c>
      <c r="D262" s="85" t="s">
        <v>3449</v>
      </c>
    </row>
    <row r="263" spans="3:4" ht="15">
      <c r="C263" s="74" t="s">
        <v>3744</v>
      </c>
      <c r="D263" s="85" t="s">
        <v>3603</v>
      </c>
    </row>
    <row r="264" spans="3:4" ht="15">
      <c r="C264" s="74" t="s">
        <v>4244</v>
      </c>
      <c r="D264" s="85" t="s">
        <v>3577</v>
      </c>
    </row>
    <row r="265" spans="3:4" ht="15">
      <c r="C265" s="74" t="s">
        <v>3716</v>
      </c>
      <c r="D265" s="85" t="s">
        <v>3571</v>
      </c>
    </row>
    <row r="266" spans="3:4" ht="15">
      <c r="C266" s="74" t="s">
        <v>3819</v>
      </c>
      <c r="D266" s="85" t="s">
        <v>3572</v>
      </c>
    </row>
    <row r="267" spans="3:4" ht="15">
      <c r="C267" s="74" t="s">
        <v>3776</v>
      </c>
      <c r="D267" s="85" t="s">
        <v>3659</v>
      </c>
    </row>
    <row r="268" spans="3:4" ht="15">
      <c r="C268" s="74" t="s">
        <v>3772</v>
      </c>
      <c r="D268" s="85" t="s">
        <v>3660</v>
      </c>
    </row>
    <row r="269" spans="3:4" ht="15">
      <c r="C269" s="74" t="s">
        <v>3774</v>
      </c>
      <c r="D269" s="85" t="s">
        <v>3434</v>
      </c>
    </row>
    <row r="270" spans="3:4" ht="15">
      <c r="C270" s="74" t="s">
        <v>3773</v>
      </c>
      <c r="D270" s="85" t="s">
        <v>3545</v>
      </c>
    </row>
    <row r="271" spans="3:4" ht="15">
      <c r="C271" s="74" t="s">
        <v>4019</v>
      </c>
      <c r="D271" s="85" t="s">
        <v>3544</v>
      </c>
    </row>
    <row r="272" spans="3:4" ht="15">
      <c r="C272" s="74" t="s">
        <v>4349</v>
      </c>
      <c r="D272" s="85" t="s">
        <v>3546</v>
      </c>
    </row>
    <row r="273" spans="3:4" ht="15">
      <c r="C273" s="74" t="s">
        <v>4187</v>
      </c>
      <c r="D273" s="85" t="s">
        <v>3433</v>
      </c>
    </row>
    <row r="274" spans="3:4" ht="15">
      <c r="C274" s="74" t="s">
        <v>3820</v>
      </c>
      <c r="D274" s="85" t="s">
        <v>3432</v>
      </c>
    </row>
    <row r="275" spans="3:4" ht="15">
      <c r="C275" s="74" t="s">
        <v>3826</v>
      </c>
      <c r="D275" s="85" t="s">
        <v>3530</v>
      </c>
    </row>
    <row r="276" spans="3:4" ht="15">
      <c r="C276" s="74" t="s">
        <v>3827</v>
      </c>
      <c r="D276" s="85" t="s">
        <v>3528</v>
      </c>
    </row>
    <row r="277" spans="3:4" ht="15">
      <c r="C277" s="74" t="s">
        <v>4164</v>
      </c>
      <c r="D277" s="85" t="s">
        <v>3531</v>
      </c>
    </row>
    <row r="278" spans="3:4" ht="15">
      <c r="C278" s="74" t="s">
        <v>3964</v>
      </c>
      <c r="D278" s="85" t="s">
        <v>3532</v>
      </c>
    </row>
    <row r="279" spans="3:4" ht="15">
      <c r="C279" s="74" t="s">
        <v>3963</v>
      </c>
      <c r="D279" s="85" t="s">
        <v>3529</v>
      </c>
    </row>
    <row r="280" spans="3:4" ht="15">
      <c r="C280" s="74" t="s">
        <v>3976</v>
      </c>
      <c r="D280" s="85" t="s">
        <v>3547</v>
      </c>
    </row>
    <row r="281" spans="3:4" ht="15">
      <c r="C281" s="74" t="s">
        <v>3975</v>
      </c>
      <c r="D281" s="85" t="s">
        <v>3436</v>
      </c>
    </row>
    <row r="282" spans="3:4" ht="15">
      <c r="C282" s="74" t="s">
        <v>3959</v>
      </c>
      <c r="D282" s="85" t="s">
        <v>3499</v>
      </c>
    </row>
    <row r="283" spans="3:4" ht="15">
      <c r="C283" s="74" t="s">
        <v>3980</v>
      </c>
      <c r="D283" s="85" t="s">
        <v>3375</v>
      </c>
    </row>
    <row r="284" spans="3:4" ht="15">
      <c r="C284" s="74" t="s">
        <v>3979</v>
      </c>
      <c r="D284" s="85" t="s">
        <v>3324</v>
      </c>
    </row>
    <row r="285" spans="3:4" ht="15">
      <c r="C285" s="74" t="s">
        <v>3981</v>
      </c>
      <c r="D285" s="85" t="s">
        <v>3325</v>
      </c>
    </row>
    <row r="286" spans="3:4" ht="15">
      <c r="C286" s="74" t="s">
        <v>3831</v>
      </c>
      <c r="D286" s="85" t="s">
        <v>3322</v>
      </c>
    </row>
    <row r="287" spans="3:4" ht="15">
      <c r="C287" s="74" t="s">
        <v>3836</v>
      </c>
      <c r="D287" s="85" t="s">
        <v>3323</v>
      </c>
    </row>
    <row r="288" spans="3:4" ht="15">
      <c r="C288" s="74" t="s">
        <v>4317</v>
      </c>
      <c r="D288" s="85" t="s">
        <v>3321</v>
      </c>
    </row>
    <row r="289" spans="3:4" ht="15">
      <c r="C289" s="74" t="s">
        <v>4323</v>
      </c>
      <c r="D289" s="85" t="s">
        <v>3373</v>
      </c>
    </row>
    <row r="290" spans="3:4" ht="15">
      <c r="C290" s="74" t="s">
        <v>4315</v>
      </c>
      <c r="D290" s="85" t="s">
        <v>3463</v>
      </c>
    </row>
    <row r="291" spans="3:4" ht="15">
      <c r="C291" s="74" t="s">
        <v>3875</v>
      </c>
      <c r="D291" s="85" t="s">
        <v>3464</v>
      </c>
    </row>
    <row r="292" spans="3:4" ht="15">
      <c r="C292" s="74" t="s">
        <v>3877</v>
      </c>
      <c r="D292" s="85" t="s">
        <v>3484</v>
      </c>
    </row>
    <row r="293" spans="3:4" ht="15">
      <c r="C293" s="74" t="s">
        <v>3876</v>
      </c>
      <c r="D293" s="85" t="s">
        <v>3392</v>
      </c>
    </row>
    <row r="294" spans="3:4" ht="15">
      <c r="C294" s="74" t="s">
        <v>4191</v>
      </c>
      <c r="D294" s="85" t="s">
        <v>3627</v>
      </c>
    </row>
    <row r="295" spans="3:4" ht="15">
      <c r="C295" s="74" t="s">
        <v>3807</v>
      </c>
      <c r="D295" s="85" t="s">
        <v>3492</v>
      </c>
    </row>
    <row r="296" spans="3:4" ht="15">
      <c r="C296" s="74" t="s">
        <v>4196</v>
      </c>
      <c r="D296" s="85" t="s">
        <v>3404</v>
      </c>
    </row>
    <row r="297" spans="3:4" ht="15">
      <c r="C297" s="74" t="s">
        <v>4197</v>
      </c>
      <c r="D297" s="85" t="s">
        <v>3520</v>
      </c>
    </row>
    <row r="298" spans="3:4" ht="15">
      <c r="C298" s="74" t="s">
        <v>4198</v>
      </c>
      <c r="D298" s="85" t="s">
        <v>3402</v>
      </c>
    </row>
    <row r="299" spans="3:4" ht="15">
      <c r="C299" s="74" t="s">
        <v>4243</v>
      </c>
      <c r="D299" s="85" t="s">
        <v>3403</v>
      </c>
    </row>
    <row r="300" spans="3:4" ht="15">
      <c r="C300" s="74" t="s">
        <v>3865</v>
      </c>
      <c r="D300" s="85" t="s">
        <v>3661</v>
      </c>
    </row>
    <row r="301" spans="3:4" ht="15">
      <c r="C301" s="74" t="s">
        <v>4083</v>
      </c>
      <c r="D301" s="85" t="s">
        <v>3651</v>
      </c>
    </row>
    <row r="302" spans="3:4" ht="15">
      <c r="C302" s="74" t="s">
        <v>4224</v>
      </c>
      <c r="D302" s="85" t="s">
        <v>3649</v>
      </c>
    </row>
    <row r="303" spans="3:4" ht="15">
      <c r="C303" s="74" t="s">
        <v>4246</v>
      </c>
      <c r="D303" s="85" t="s">
        <v>3457</v>
      </c>
    </row>
    <row r="304" spans="3:4" ht="15">
      <c r="C304" s="74" t="s">
        <v>3884</v>
      </c>
      <c r="D304" s="85" t="s">
        <v>3533</v>
      </c>
    </row>
    <row r="305" spans="3:4" ht="15">
      <c r="C305" s="74" t="s">
        <v>3887</v>
      </c>
      <c r="D305" s="85" t="s">
        <v>3349</v>
      </c>
    </row>
    <row r="306" spans="3:4" ht="15">
      <c r="C306" s="74" t="s">
        <v>4065</v>
      </c>
      <c r="D306" s="85" t="s">
        <v>3549</v>
      </c>
    </row>
    <row r="307" spans="3:4" ht="15">
      <c r="C307" s="74" t="s">
        <v>3888</v>
      </c>
      <c r="D307" s="85" t="s">
        <v>3548</v>
      </c>
    </row>
    <row r="308" spans="3:4" ht="15">
      <c r="C308" s="74" t="s">
        <v>4156</v>
      </c>
      <c r="D308" s="85" t="s">
        <v>3486</v>
      </c>
    </row>
    <row r="309" spans="3:4" ht="15">
      <c r="C309" s="74" t="s">
        <v>4158</v>
      </c>
      <c r="D309" s="85" t="s">
        <v>3487</v>
      </c>
    </row>
    <row r="310" spans="3:4" ht="15">
      <c r="C310" s="74" t="s">
        <v>3941</v>
      </c>
      <c r="D310" s="85" t="s">
        <v>3355</v>
      </c>
    </row>
    <row r="311" spans="3:4" ht="15">
      <c r="C311" s="74" t="s">
        <v>3770</v>
      </c>
      <c r="D311" s="85" t="s">
        <v>3519</v>
      </c>
    </row>
    <row r="312" spans="3:4" ht="15">
      <c r="C312" s="74" t="s">
        <v>3769</v>
      </c>
      <c r="D312" s="85" t="s">
        <v>3405</v>
      </c>
    </row>
    <row r="313" spans="3:4" ht="15">
      <c r="C313" s="74" t="s">
        <v>3768</v>
      </c>
      <c r="D313" s="85" t="s">
        <v>3391</v>
      </c>
    </row>
    <row r="314" spans="3:4" ht="15">
      <c r="C314" s="74" t="s">
        <v>3912</v>
      </c>
      <c r="D314" s="85" t="s">
        <v>3410</v>
      </c>
    </row>
    <row r="315" spans="3:4" ht="15">
      <c r="C315" s="74" t="s">
        <v>3913</v>
      </c>
      <c r="D315" s="85" t="s">
        <v>3493</v>
      </c>
    </row>
    <row r="316" spans="3:4" ht="15">
      <c r="C316" s="74" t="s">
        <v>3914</v>
      </c>
      <c r="D316" s="85" t="s">
        <v>3510</v>
      </c>
    </row>
    <row r="317" spans="3:4" ht="15">
      <c r="C317" s="74" t="s">
        <v>3706</v>
      </c>
      <c r="D317" s="85" t="s">
        <v>3509</v>
      </c>
    </row>
    <row r="318" spans="3:4" ht="15">
      <c r="C318" s="74" t="s">
        <v>3924</v>
      </c>
      <c r="D318" s="85" t="s">
        <v>3382</v>
      </c>
    </row>
    <row r="319" spans="3:4" ht="15">
      <c r="C319" s="74" t="s">
        <v>4149</v>
      </c>
      <c r="D319" s="85" t="s">
        <v>3394</v>
      </c>
    </row>
    <row r="320" spans="3:4" ht="15">
      <c r="C320" s="74" t="s">
        <v>4170</v>
      </c>
      <c r="D320" s="85" t="s">
        <v>3379</v>
      </c>
    </row>
    <row r="321" spans="3:4" ht="15">
      <c r="C321" s="74" t="s">
        <v>4047</v>
      </c>
      <c r="D321" s="85" t="s">
        <v>3380</v>
      </c>
    </row>
    <row r="322" spans="3:4" ht="15">
      <c r="C322" s="74" t="s">
        <v>4048</v>
      </c>
      <c r="D322" s="85" t="s">
        <v>3381</v>
      </c>
    </row>
    <row r="323" spans="3:4" ht="15">
      <c r="C323" s="74" t="s">
        <v>4045</v>
      </c>
      <c r="D323" s="85" t="s">
        <v>3505</v>
      </c>
    </row>
    <row r="324" spans="3:4" ht="15">
      <c r="C324" s="74" t="s">
        <v>4046</v>
      </c>
      <c r="D324" s="85" t="s">
        <v>3501</v>
      </c>
    </row>
    <row r="325" spans="3:4" ht="15">
      <c r="C325" s="74" t="s">
        <v>4043</v>
      </c>
      <c r="D325" s="85" t="s">
        <v>3500</v>
      </c>
    </row>
    <row r="326" spans="3:4" ht="15">
      <c r="C326" s="74" t="s">
        <v>4044</v>
      </c>
      <c r="D326" s="85" t="s">
        <v>3416</v>
      </c>
    </row>
    <row r="327" spans="3:4" ht="15">
      <c r="C327" s="74" t="s">
        <v>4040</v>
      </c>
      <c r="D327" s="85" t="s">
        <v>3555</v>
      </c>
    </row>
    <row r="328" spans="3:4" ht="15">
      <c r="C328" s="74" t="s">
        <v>4041</v>
      </c>
      <c r="D328" s="85" t="s">
        <v>3502</v>
      </c>
    </row>
    <row r="329" spans="3:4" ht="15">
      <c r="C329" s="74" t="s">
        <v>4038</v>
      </c>
      <c r="D329" s="85" t="s">
        <v>3471</v>
      </c>
    </row>
    <row r="330" spans="3:4" ht="15">
      <c r="C330" s="74" t="s">
        <v>4039</v>
      </c>
      <c r="D330" s="85" t="s">
        <v>3470</v>
      </c>
    </row>
    <row r="331" spans="3:4" ht="15">
      <c r="C331" s="74" t="s">
        <v>4042</v>
      </c>
      <c r="D331" s="85" t="s">
        <v>3339</v>
      </c>
    </row>
    <row r="332" spans="3:4" ht="15">
      <c r="C332" s="74" t="s">
        <v>4309</v>
      </c>
      <c r="D332" s="85" t="s">
        <v>3426</v>
      </c>
    </row>
    <row r="333" spans="3:4" ht="15">
      <c r="C333" s="74" t="s">
        <v>4311</v>
      </c>
      <c r="D333" s="85" t="s">
        <v>3479</v>
      </c>
    </row>
    <row r="334" spans="3:4" ht="15">
      <c r="C334" s="74" t="s">
        <v>4310</v>
      </c>
      <c r="D334" s="85" t="s">
        <v>3474</v>
      </c>
    </row>
    <row r="335" spans="3:4" ht="15">
      <c r="C335" s="74" t="s">
        <v>4082</v>
      </c>
      <c r="D335" s="85" t="s">
        <v>3477</v>
      </c>
    </row>
    <row r="336" spans="3:4" ht="15">
      <c r="C336" s="74" t="s">
        <v>4121</v>
      </c>
      <c r="D336" s="85" t="s">
        <v>3540</v>
      </c>
    </row>
    <row r="337" spans="3:4" ht="15">
      <c r="C337" s="74" t="s">
        <v>3894</v>
      </c>
      <c r="D337" s="85" t="s">
        <v>3541</v>
      </c>
    </row>
    <row r="338" spans="3:4" ht="15">
      <c r="C338" s="74" t="s">
        <v>3896</v>
      </c>
      <c r="D338" s="85" t="s">
        <v>3550</v>
      </c>
    </row>
    <row r="339" spans="3:4" ht="15">
      <c r="C339" s="74" t="s">
        <v>3893</v>
      </c>
      <c r="D339" s="85" t="s">
        <v>3504</v>
      </c>
    </row>
    <row r="340" spans="3:4" ht="15">
      <c r="C340" s="74" t="s">
        <v>3899</v>
      </c>
      <c r="D340" s="85" t="s">
        <v>3537</v>
      </c>
    </row>
    <row r="341" spans="3:4" ht="15">
      <c r="C341" s="74" t="s">
        <v>3898</v>
      </c>
      <c r="D341" s="85" t="s">
        <v>3570</v>
      </c>
    </row>
    <row r="342" spans="3:4" ht="15">
      <c r="C342" s="74" t="s">
        <v>3897</v>
      </c>
      <c r="D342" s="85" t="s">
        <v>3343</v>
      </c>
    </row>
    <row r="343" spans="3:4" ht="15">
      <c r="C343" s="74" t="s">
        <v>3903</v>
      </c>
      <c r="D343" s="85" t="s">
        <v>3513</v>
      </c>
    </row>
    <row r="344" spans="3:4" ht="15">
      <c r="C344" s="74" t="s">
        <v>3829</v>
      </c>
      <c r="D344" s="85" t="s">
        <v>3514</v>
      </c>
    </row>
    <row r="345" spans="3:4" ht="15">
      <c r="C345" s="74" t="s">
        <v>4313</v>
      </c>
      <c r="D345" s="85" t="s">
        <v>3329</v>
      </c>
    </row>
    <row r="346" ht="15">
      <c r="C346" s="74" t="s">
        <v>4052</v>
      </c>
    </row>
    <row r="347" ht="15">
      <c r="C347" s="74" t="s">
        <v>4000</v>
      </c>
    </row>
    <row r="348" ht="15">
      <c r="C348" s="74" t="s">
        <v>3725</v>
      </c>
    </row>
    <row r="349" ht="15">
      <c r="C349" s="74" t="s">
        <v>3724</v>
      </c>
    </row>
    <row r="350" ht="15">
      <c r="C350" s="74" t="s">
        <v>3723</v>
      </c>
    </row>
    <row r="351" ht="15">
      <c r="C351" s="74" t="s">
        <v>4253</v>
      </c>
    </row>
    <row r="352" ht="15">
      <c r="C352" s="74" t="s">
        <v>4279</v>
      </c>
    </row>
    <row r="353" ht="15">
      <c r="C353" s="74" t="s">
        <v>3793</v>
      </c>
    </row>
    <row r="354" ht="15">
      <c r="C354" s="74" t="s">
        <v>3791</v>
      </c>
    </row>
    <row r="355" ht="15">
      <c r="C355" s="74" t="s">
        <v>3794</v>
      </c>
    </row>
    <row r="356" ht="15">
      <c r="C356" s="74" t="s">
        <v>3792</v>
      </c>
    </row>
    <row r="357" ht="15">
      <c r="C357" s="74" t="s">
        <v>3919</v>
      </c>
    </row>
    <row r="358" ht="15">
      <c r="C358" s="74" t="s">
        <v>3920</v>
      </c>
    </row>
    <row r="359" ht="15">
      <c r="C359" s="74" t="s">
        <v>3821</v>
      </c>
    </row>
    <row r="360" ht="15">
      <c r="C360" s="74" t="s">
        <v>3942</v>
      </c>
    </row>
    <row r="361" ht="15">
      <c r="C361" s="74" t="s">
        <v>4297</v>
      </c>
    </row>
    <row r="362" ht="15">
      <c r="C362" s="74" t="s">
        <v>4085</v>
      </c>
    </row>
    <row r="363" ht="15">
      <c r="C363" s="74" t="s">
        <v>4115</v>
      </c>
    </row>
    <row r="364" ht="15">
      <c r="C364" s="74" t="s">
        <v>4086</v>
      </c>
    </row>
    <row r="365" ht="15">
      <c r="C365" s="74" t="s">
        <v>4088</v>
      </c>
    </row>
    <row r="366" ht="15">
      <c r="C366" s="74" t="s">
        <v>4087</v>
      </c>
    </row>
    <row r="367" ht="15">
      <c r="C367" s="74" t="s">
        <v>3883</v>
      </c>
    </row>
    <row r="368" ht="15">
      <c r="C368" s="74" t="s">
        <v>3882</v>
      </c>
    </row>
    <row r="369" ht="15">
      <c r="C369" s="74" t="s">
        <v>4344</v>
      </c>
    </row>
    <row r="370" ht="15">
      <c r="C370" s="74" t="s">
        <v>4347</v>
      </c>
    </row>
    <row r="371" ht="15">
      <c r="C371" s="74" t="s">
        <v>4161</v>
      </c>
    </row>
    <row r="372" ht="15">
      <c r="C372" s="74" t="s">
        <v>4062</v>
      </c>
    </row>
    <row r="373" ht="15">
      <c r="C373" s="74" t="s">
        <v>4060</v>
      </c>
    </row>
    <row r="374" ht="15">
      <c r="C374" s="74" t="s">
        <v>4061</v>
      </c>
    </row>
    <row r="375" ht="15">
      <c r="C375" s="74" t="s">
        <v>3996</v>
      </c>
    </row>
    <row r="376" ht="15">
      <c r="C376" s="74" t="s">
        <v>3989</v>
      </c>
    </row>
    <row r="377" ht="15">
      <c r="C377" s="74" t="s">
        <v>3990</v>
      </c>
    </row>
    <row r="378" ht="15">
      <c r="C378" s="74" t="s">
        <v>3988</v>
      </c>
    </row>
    <row r="379" ht="15">
      <c r="C379" s="74" t="s">
        <v>3984</v>
      </c>
    </row>
    <row r="380" ht="15">
      <c r="C380" s="74" t="s">
        <v>3995</v>
      </c>
    </row>
    <row r="381" ht="15">
      <c r="C381" s="74" t="s">
        <v>3983</v>
      </c>
    </row>
    <row r="382" ht="15">
      <c r="C382" s="74" t="s">
        <v>3993</v>
      </c>
    </row>
    <row r="383" ht="15">
      <c r="C383" s="74" t="s">
        <v>3985</v>
      </c>
    </row>
    <row r="384" ht="15">
      <c r="C384" s="74" t="s">
        <v>3994</v>
      </c>
    </row>
    <row r="385" ht="15">
      <c r="C385" s="74" t="s">
        <v>3987</v>
      </c>
    </row>
    <row r="386" ht="15">
      <c r="C386" s="74" t="s">
        <v>3986</v>
      </c>
    </row>
    <row r="387" ht="15">
      <c r="C387" s="74" t="s">
        <v>3885</v>
      </c>
    </row>
    <row r="388" ht="15">
      <c r="C388" s="74" t="s">
        <v>3886</v>
      </c>
    </row>
    <row r="389" ht="15">
      <c r="C389" s="74" t="s">
        <v>4263</v>
      </c>
    </row>
    <row r="390" ht="15">
      <c r="C390" s="74" t="s">
        <v>4265</v>
      </c>
    </row>
    <row r="391" ht="15">
      <c r="C391" s="74" t="s">
        <v>4262</v>
      </c>
    </row>
    <row r="392" ht="15">
      <c r="C392" s="74" t="s">
        <v>3895</v>
      </c>
    </row>
    <row r="393" ht="15">
      <c r="C393" s="74" t="s">
        <v>4242</v>
      </c>
    </row>
    <row r="394" ht="15">
      <c r="C394" s="74" t="s">
        <v>4241</v>
      </c>
    </row>
    <row r="395" ht="15">
      <c r="C395" s="74" t="s">
        <v>4215</v>
      </c>
    </row>
    <row r="396" ht="15">
      <c r="C396" s="74" t="s">
        <v>4116</v>
      </c>
    </row>
    <row r="397" ht="15">
      <c r="C397" s="74" t="s">
        <v>4020</v>
      </c>
    </row>
    <row r="398" ht="15">
      <c r="C398" s="74" t="s">
        <v>4016</v>
      </c>
    </row>
    <row r="399" ht="15">
      <c r="C399" s="74" t="s">
        <v>4021</v>
      </c>
    </row>
    <row r="400" ht="15">
      <c r="C400" s="74" t="s">
        <v>4134</v>
      </c>
    </row>
    <row r="401" ht="15">
      <c r="C401" s="74" t="s">
        <v>3741</v>
      </c>
    </row>
    <row r="402" ht="15">
      <c r="C402" s="74" t="s">
        <v>3742</v>
      </c>
    </row>
    <row r="403" ht="15">
      <c r="C403" s="74" t="s">
        <v>4142</v>
      </c>
    </row>
    <row r="404" ht="15">
      <c r="C404" s="74" t="s">
        <v>4143</v>
      </c>
    </row>
    <row r="405" ht="15">
      <c r="C405" s="74" t="s">
        <v>3936</v>
      </c>
    </row>
    <row r="406" ht="15">
      <c r="C406" s="74" t="s">
        <v>4035</v>
      </c>
    </row>
    <row r="407" ht="15">
      <c r="C407" s="74" t="s">
        <v>4233</v>
      </c>
    </row>
    <row r="408" ht="15">
      <c r="C408" s="74" t="s">
        <v>4234</v>
      </c>
    </row>
    <row r="409" ht="15">
      <c r="C409" s="74" t="s">
        <v>4050</v>
      </c>
    </row>
    <row r="410" ht="15">
      <c r="C410" s="74" t="s">
        <v>4051</v>
      </c>
    </row>
    <row r="411" ht="15">
      <c r="C411" s="74" t="s">
        <v>4173</v>
      </c>
    </row>
    <row r="412" ht="15">
      <c r="C412" s="74" t="s">
        <v>4049</v>
      </c>
    </row>
    <row r="413" ht="15">
      <c r="C413" s="74" t="s">
        <v>3835</v>
      </c>
    </row>
    <row r="414" ht="15">
      <c r="C414" s="74" t="s">
        <v>3832</v>
      </c>
    </row>
    <row r="415" ht="15">
      <c r="C415" s="74" t="s">
        <v>3834</v>
      </c>
    </row>
    <row r="416" ht="15">
      <c r="C416" s="74" t="s">
        <v>3833</v>
      </c>
    </row>
    <row r="417" ht="15">
      <c r="C417" s="74" t="s">
        <v>3890</v>
      </c>
    </row>
    <row r="418" ht="15">
      <c r="C418" s="74" t="s">
        <v>4312</v>
      </c>
    </row>
    <row r="419" ht="15">
      <c r="C419" s="74" t="s">
        <v>4058</v>
      </c>
    </row>
    <row r="420" ht="15">
      <c r="C420" s="74" t="s">
        <v>4093</v>
      </c>
    </row>
    <row r="421" ht="15">
      <c r="C421" s="74" t="s">
        <v>4092</v>
      </c>
    </row>
    <row r="422" ht="15">
      <c r="C422" s="74" t="s">
        <v>4171</v>
      </c>
    </row>
    <row r="423" ht="15">
      <c r="C423" s="74" t="s">
        <v>3867</v>
      </c>
    </row>
    <row r="424" ht="15">
      <c r="C424" s="74" t="s">
        <v>4255</v>
      </c>
    </row>
    <row r="425" ht="15">
      <c r="C425" s="74" t="s">
        <v>3904</v>
      </c>
    </row>
    <row r="426" ht="15">
      <c r="C426" s="74" t="s">
        <v>4357</v>
      </c>
    </row>
    <row r="427" ht="15">
      <c r="C427" s="74" t="s">
        <v>4358</v>
      </c>
    </row>
    <row r="428" ht="15">
      <c r="C428" s="74" t="s">
        <v>4017</v>
      </c>
    </row>
    <row r="429" ht="15">
      <c r="C429" s="74" t="s">
        <v>4018</v>
      </c>
    </row>
    <row r="430" ht="15">
      <c r="C430" s="74" t="s">
        <v>4305</v>
      </c>
    </row>
    <row r="431" ht="15">
      <c r="C431" s="74" t="s">
        <v>3709</v>
      </c>
    </row>
    <row r="432" ht="15">
      <c r="C432" s="74" t="s">
        <v>3710</v>
      </c>
    </row>
    <row r="433" ht="15">
      <c r="C433" s="74" t="s">
        <v>3714</v>
      </c>
    </row>
    <row r="434" ht="15">
      <c r="C434" s="74" t="s">
        <v>3715</v>
      </c>
    </row>
    <row r="435" ht="15">
      <c r="C435" s="74" t="s">
        <v>4097</v>
      </c>
    </row>
    <row r="436" ht="15">
      <c r="C436" s="74" t="s">
        <v>4141</v>
      </c>
    </row>
    <row r="437" ht="15">
      <c r="C437" s="74" t="s">
        <v>4137</v>
      </c>
    </row>
    <row r="438" ht="15">
      <c r="C438" s="74" t="s">
        <v>4138</v>
      </c>
    </row>
    <row r="439" ht="15">
      <c r="C439" s="74" t="s">
        <v>4139</v>
      </c>
    </row>
    <row r="440" ht="15">
      <c r="C440" s="74" t="s">
        <v>4140</v>
      </c>
    </row>
    <row r="441" ht="15">
      <c r="C441" s="74" t="s">
        <v>4055</v>
      </c>
    </row>
    <row r="442" ht="15">
      <c r="C442" s="74" t="s">
        <v>4054</v>
      </c>
    </row>
    <row r="443" ht="15">
      <c r="C443" s="74" t="s">
        <v>4096</v>
      </c>
    </row>
    <row r="444" ht="15">
      <c r="C444" s="74" t="s">
        <v>3751</v>
      </c>
    </row>
    <row r="445" ht="15">
      <c r="C445" s="74" t="s">
        <v>3752</v>
      </c>
    </row>
    <row r="446" ht="15">
      <c r="C446" s="74" t="s">
        <v>4304</v>
      </c>
    </row>
    <row r="447" ht="15">
      <c r="C447" s="74" t="s">
        <v>4345</v>
      </c>
    </row>
    <row r="448" ht="15">
      <c r="C448" s="74" t="s">
        <v>4340</v>
      </c>
    </row>
    <row r="449" ht="15">
      <c r="C449" s="74" t="s">
        <v>4341</v>
      </c>
    </row>
    <row r="450" ht="15">
      <c r="C450" s="74" t="s">
        <v>4342</v>
      </c>
    </row>
    <row r="451" ht="15">
      <c r="C451" s="74" t="s">
        <v>4343</v>
      </c>
    </row>
    <row r="452" ht="15">
      <c r="C452" s="74" t="s">
        <v>4356</v>
      </c>
    </row>
    <row r="453" ht="15">
      <c r="C453" s="74" t="s">
        <v>3781</v>
      </c>
    </row>
    <row r="454" ht="15">
      <c r="C454" s="74" t="s">
        <v>3779</v>
      </c>
    </row>
    <row r="455" ht="15">
      <c r="C455" s="74" t="s">
        <v>3778</v>
      </c>
    </row>
    <row r="456" ht="15">
      <c r="C456" s="74" t="s">
        <v>3780</v>
      </c>
    </row>
    <row r="457" ht="15">
      <c r="C457" s="74" t="s">
        <v>3965</v>
      </c>
    </row>
    <row r="458" ht="15">
      <c r="C458" s="74" t="s">
        <v>3966</v>
      </c>
    </row>
    <row r="459" ht="15">
      <c r="C459" s="74" t="s">
        <v>3733</v>
      </c>
    </row>
    <row r="460" ht="15">
      <c r="C460" s="74" t="s">
        <v>3734</v>
      </c>
    </row>
    <row r="461" ht="15">
      <c r="C461" s="74" t="s">
        <v>3933</v>
      </c>
    </row>
    <row r="462" ht="15">
      <c r="C462" s="74" t="s">
        <v>3934</v>
      </c>
    </row>
    <row r="463" ht="15">
      <c r="C463" s="74" t="s">
        <v>4314</v>
      </c>
    </row>
    <row r="464" ht="15">
      <c r="C464" s="74" t="s">
        <v>4303</v>
      </c>
    </row>
    <row r="465" ht="15">
      <c r="C465" s="74" t="s">
        <v>4205</v>
      </c>
    </row>
    <row r="466" ht="15">
      <c r="C466" s="74" t="s">
        <v>4206</v>
      </c>
    </row>
    <row r="467" ht="15">
      <c r="C467" s="74" t="s">
        <v>4207</v>
      </c>
    </row>
    <row r="468" ht="15">
      <c r="C468" s="74" t="s">
        <v>4208</v>
      </c>
    </row>
    <row r="469" ht="15">
      <c r="C469" s="74" t="s">
        <v>4211</v>
      </c>
    </row>
    <row r="470" ht="15">
      <c r="C470" s="74" t="s">
        <v>4212</v>
      </c>
    </row>
    <row r="471" ht="15">
      <c r="C471" s="74" t="s">
        <v>4260</v>
      </c>
    </row>
    <row r="472" ht="15">
      <c r="C472" s="74" t="s">
        <v>4261</v>
      </c>
    </row>
    <row r="473" ht="15">
      <c r="C473" s="74" t="s">
        <v>4209</v>
      </c>
    </row>
    <row r="474" ht="15">
      <c r="C474" s="74" t="s">
        <v>4210</v>
      </c>
    </row>
    <row r="475" ht="15">
      <c r="C475" s="74" t="s">
        <v>4213</v>
      </c>
    </row>
    <row r="476" ht="15">
      <c r="C476" s="74" t="s">
        <v>4214</v>
      </c>
    </row>
    <row r="477" ht="15">
      <c r="C477" s="74" t="s">
        <v>4354</v>
      </c>
    </row>
    <row r="478" ht="15">
      <c r="C478" s="74" t="s">
        <v>4355</v>
      </c>
    </row>
    <row r="479" ht="15">
      <c r="C479" s="74" t="s">
        <v>4339</v>
      </c>
    </row>
    <row r="480" ht="15">
      <c r="C480" s="74" t="s">
        <v>4256</v>
      </c>
    </row>
    <row r="481" ht="15">
      <c r="C481" s="74" t="s">
        <v>4257</v>
      </c>
    </row>
    <row r="482" ht="15">
      <c r="C482" s="74" t="s">
        <v>4258</v>
      </c>
    </row>
    <row r="483" ht="15">
      <c r="C483" s="74" t="s">
        <v>4259</v>
      </c>
    </row>
    <row r="484" ht="15">
      <c r="C484" s="74" t="s">
        <v>3868</v>
      </c>
    </row>
    <row r="485" ht="15">
      <c r="C485" s="74" t="s">
        <v>3881</v>
      </c>
    </row>
    <row r="486" ht="15">
      <c r="C486" s="74" t="s">
        <v>3872</v>
      </c>
    </row>
    <row r="487" ht="15">
      <c r="C487" s="74" t="s">
        <v>3870</v>
      </c>
    </row>
    <row r="488" ht="15">
      <c r="C488" s="74" t="s">
        <v>4175</v>
      </c>
    </row>
    <row r="489" ht="15">
      <c r="C489" s="74" t="s">
        <v>4174</v>
      </c>
    </row>
    <row r="490" ht="15">
      <c r="C490" s="74" t="s">
        <v>3790</v>
      </c>
    </row>
    <row r="491" ht="15">
      <c r="C491" s="74" t="s">
        <v>3822</v>
      </c>
    </row>
    <row r="492" ht="15">
      <c r="C492" s="74" t="s">
        <v>3909</v>
      </c>
    </row>
    <row r="493" ht="15">
      <c r="C493" s="74" t="s">
        <v>3758</v>
      </c>
    </row>
    <row r="494" ht="15">
      <c r="C494" s="74" t="s">
        <v>3759</v>
      </c>
    </row>
    <row r="495" ht="15">
      <c r="C495" s="74" t="s">
        <v>3762</v>
      </c>
    </row>
    <row r="496" ht="15">
      <c r="C496" s="74" t="s">
        <v>3763</v>
      </c>
    </row>
    <row r="497" ht="15">
      <c r="C497" s="74" t="s">
        <v>3760</v>
      </c>
    </row>
    <row r="498" ht="15">
      <c r="C498" s="74" t="s">
        <v>3761</v>
      </c>
    </row>
    <row r="499" ht="15">
      <c r="C499" s="74" t="s">
        <v>3756</v>
      </c>
    </row>
    <row r="500" ht="15">
      <c r="C500" s="74" t="s">
        <v>3757</v>
      </c>
    </row>
    <row r="501" ht="15">
      <c r="C501" s="74" t="s">
        <v>3737</v>
      </c>
    </row>
    <row r="502" ht="15">
      <c r="C502" s="74" t="s">
        <v>3811</v>
      </c>
    </row>
    <row r="503" ht="15">
      <c r="C503" s="74" t="s">
        <v>3736</v>
      </c>
    </row>
    <row r="504" ht="15">
      <c r="C504" s="74" t="s">
        <v>3739</v>
      </c>
    </row>
    <row r="505" ht="15">
      <c r="C505" s="74" t="s">
        <v>3738</v>
      </c>
    </row>
    <row r="506" ht="15">
      <c r="C506" s="74" t="s">
        <v>3812</v>
      </c>
    </row>
    <row r="507" ht="15">
      <c r="C507" s="74" t="s">
        <v>3957</v>
      </c>
    </row>
    <row r="508" ht="15">
      <c r="C508" s="74" t="s">
        <v>3860</v>
      </c>
    </row>
    <row r="509" ht="15">
      <c r="C509" s="74" t="s">
        <v>3856</v>
      </c>
    </row>
    <row r="510" ht="15">
      <c r="C510" s="74" t="s">
        <v>4109</v>
      </c>
    </row>
    <row r="511" ht="15">
      <c r="C511" s="74" t="s">
        <v>4266</v>
      </c>
    </row>
    <row r="512" ht="15">
      <c r="C512" s="74" t="s">
        <v>4267</v>
      </c>
    </row>
    <row r="513" ht="15">
      <c r="C513" s="74" t="s">
        <v>4268</v>
      </c>
    </row>
    <row r="514" ht="15">
      <c r="C514" s="74" t="s">
        <v>4269</v>
      </c>
    </row>
    <row r="515" ht="15">
      <c r="C515" s="74" t="s">
        <v>4178</v>
      </c>
    </row>
    <row r="516" ht="15">
      <c r="C516" s="74" t="s">
        <v>4298</v>
      </c>
    </row>
    <row r="517" ht="15">
      <c r="C517" s="74" t="s">
        <v>4146</v>
      </c>
    </row>
    <row r="518" ht="15">
      <c r="C518" s="74" t="s">
        <v>4127</v>
      </c>
    </row>
    <row r="519" ht="15">
      <c r="C519" s="74" t="s">
        <v>4126</v>
      </c>
    </row>
    <row r="520" ht="15">
      <c r="C520" s="74" t="s">
        <v>4125</v>
      </c>
    </row>
    <row r="521" ht="15">
      <c r="C521" s="74" t="s">
        <v>4350</v>
      </c>
    </row>
    <row r="522" ht="15">
      <c r="C522" s="74" t="s">
        <v>4351</v>
      </c>
    </row>
    <row r="523" ht="15">
      <c r="C523" s="74" t="s">
        <v>4365</v>
      </c>
    </row>
    <row r="524" ht="15">
      <c r="C524" s="74" t="s">
        <v>3859</v>
      </c>
    </row>
    <row r="525" ht="15">
      <c r="C525" s="74" t="s">
        <v>4034</v>
      </c>
    </row>
    <row r="526" ht="15">
      <c r="C526" s="74" t="s">
        <v>3977</v>
      </c>
    </row>
    <row r="527" ht="15">
      <c r="C527" s="74" t="s">
        <v>3978</v>
      </c>
    </row>
    <row r="528" ht="15">
      <c r="C528" s="74" t="s">
        <v>4123</v>
      </c>
    </row>
    <row r="529" ht="15">
      <c r="C529" s="74" t="s">
        <v>4333</v>
      </c>
    </row>
    <row r="530" ht="15">
      <c r="C530" s="74" t="s">
        <v>4283</v>
      </c>
    </row>
    <row r="531" ht="15">
      <c r="C531" s="74" t="s">
        <v>4284</v>
      </c>
    </row>
    <row r="532" ht="15">
      <c r="C532" s="74" t="s">
        <v>3918</v>
      </c>
    </row>
    <row r="533" ht="15">
      <c r="C533" s="74" t="s">
        <v>4077</v>
      </c>
    </row>
    <row r="534" ht="15">
      <c r="C534" s="74" t="s">
        <v>4078</v>
      </c>
    </row>
    <row r="535" ht="15">
      <c r="C535" s="74" t="s">
        <v>4076</v>
      </c>
    </row>
    <row r="536" ht="15">
      <c r="C536" s="74" t="s">
        <v>4013</v>
      </c>
    </row>
    <row r="537" ht="15">
      <c r="C537" s="74" t="s">
        <v>4070</v>
      </c>
    </row>
    <row r="538" ht="15">
      <c r="C538" s="74" t="s">
        <v>4071</v>
      </c>
    </row>
    <row r="539" ht="15">
      <c r="C539" s="74" t="s">
        <v>4069</v>
      </c>
    </row>
    <row r="540" ht="15">
      <c r="C540" s="74" t="s">
        <v>4322</v>
      </c>
    </row>
    <row r="541" ht="15">
      <c r="C541" s="74" t="s">
        <v>4135</v>
      </c>
    </row>
    <row r="542" ht="15">
      <c r="C542" s="74" t="s">
        <v>4162</v>
      </c>
    </row>
    <row r="543" ht="15">
      <c r="C543" s="74" t="s">
        <v>4163</v>
      </c>
    </row>
    <row r="544" ht="15">
      <c r="C544" s="74" t="s">
        <v>4067</v>
      </c>
    </row>
    <row r="545" ht="15">
      <c r="C545" s="74" t="s">
        <v>4068</v>
      </c>
    </row>
    <row r="546" ht="15">
      <c r="C546" s="74" t="s">
        <v>4072</v>
      </c>
    </row>
    <row r="547" ht="15">
      <c r="C547" s="74" t="s">
        <v>4073</v>
      </c>
    </row>
    <row r="548" ht="15">
      <c r="C548" s="74" t="s">
        <v>4136</v>
      </c>
    </row>
    <row r="549" ht="15">
      <c r="C549" s="74" t="s">
        <v>3775</v>
      </c>
    </row>
    <row r="550" ht="15">
      <c r="C550" s="74" t="s">
        <v>3917</v>
      </c>
    </row>
    <row r="551" ht="15">
      <c r="C551" s="74" t="s">
        <v>4028</v>
      </c>
    </row>
    <row r="552" ht="15">
      <c r="C552" s="74" t="s">
        <v>4029</v>
      </c>
    </row>
    <row r="553" ht="15">
      <c r="C553" s="74" t="s">
        <v>3878</v>
      </c>
    </row>
    <row r="554" ht="15">
      <c r="C554" s="74" t="s">
        <v>3879</v>
      </c>
    </row>
    <row r="555" ht="15">
      <c r="C555" s="74" t="s">
        <v>3880</v>
      </c>
    </row>
    <row r="556" ht="15">
      <c r="C556" s="74" t="s">
        <v>3900</v>
      </c>
    </row>
    <row r="557" ht="15">
      <c r="C557" s="74" t="s">
        <v>3841</v>
      </c>
    </row>
    <row r="558" ht="15">
      <c r="C558" s="74" t="s">
        <v>4053</v>
      </c>
    </row>
    <row r="559" ht="15">
      <c r="C559" s="74" t="s">
        <v>3839</v>
      </c>
    </row>
    <row r="560" ht="15">
      <c r="C560" s="74" t="s">
        <v>3840</v>
      </c>
    </row>
    <row r="561" ht="15">
      <c r="C561" s="74" t="s">
        <v>3843</v>
      </c>
    </row>
    <row r="562" ht="15">
      <c r="C562" s="74" t="s">
        <v>3842</v>
      </c>
    </row>
    <row r="563" ht="15">
      <c r="C563" s="74" t="s">
        <v>3838</v>
      </c>
    </row>
    <row r="564" ht="15">
      <c r="C564" s="74" t="s">
        <v>3837</v>
      </c>
    </row>
    <row r="565" ht="15">
      <c r="C565" s="74" t="s">
        <v>3727</v>
      </c>
    </row>
    <row r="566" ht="15">
      <c r="C566" s="74" t="s">
        <v>3743</v>
      </c>
    </row>
    <row r="567" ht="15">
      <c r="C567" s="74" t="s">
        <v>3803</v>
      </c>
    </row>
    <row r="568" ht="15">
      <c r="C568" s="74" t="s">
        <v>4316</v>
      </c>
    </row>
    <row r="569" ht="15">
      <c r="C569" s="74" t="s">
        <v>3940</v>
      </c>
    </row>
    <row r="570" ht="15">
      <c r="C570" s="74" t="s">
        <v>3719</v>
      </c>
    </row>
    <row r="571" ht="15">
      <c r="C571" s="74" t="s">
        <v>3873</v>
      </c>
    </row>
    <row r="572" ht="15">
      <c r="C572" s="74" t="s">
        <v>3874</v>
      </c>
    </row>
    <row r="573" ht="15">
      <c r="C573" s="74" t="s">
        <v>3735</v>
      </c>
    </row>
    <row r="574" ht="15">
      <c r="C574" s="74" t="s">
        <v>4219</v>
      </c>
    </row>
    <row r="575" ht="15">
      <c r="C575" s="74" t="s">
        <v>4220</v>
      </c>
    </row>
    <row r="576" ht="15">
      <c r="C576" s="74" t="s">
        <v>4221</v>
      </c>
    </row>
    <row r="577" ht="15">
      <c r="C577" s="74" t="s">
        <v>4222</v>
      </c>
    </row>
    <row r="578" ht="15">
      <c r="C578" s="74" t="s">
        <v>4217</v>
      </c>
    </row>
    <row r="579" ht="15">
      <c r="C579" s="74" t="s">
        <v>4218</v>
      </c>
    </row>
    <row r="580" ht="15">
      <c r="C580" s="74" t="s">
        <v>3982</v>
      </c>
    </row>
    <row r="581" ht="15">
      <c r="C581" s="74" t="s">
        <v>4189</v>
      </c>
    </row>
    <row r="582" ht="15">
      <c r="C582" s="74" t="s">
        <v>4190</v>
      </c>
    </row>
    <row r="583" ht="15">
      <c r="C583" s="74" t="s">
        <v>4064</v>
      </c>
    </row>
    <row r="584" ht="15">
      <c r="C584" s="74" t="s">
        <v>4195</v>
      </c>
    </row>
    <row r="585" ht="15">
      <c r="C585" s="74" t="s">
        <v>4337</v>
      </c>
    </row>
    <row r="586" ht="15">
      <c r="C586" s="74" t="s">
        <v>4334</v>
      </c>
    </row>
    <row r="587" ht="15">
      <c r="C587" s="74" t="s">
        <v>4336</v>
      </c>
    </row>
    <row r="588" ht="15">
      <c r="C588" s="74" t="s">
        <v>4335</v>
      </c>
    </row>
    <row r="589" ht="15">
      <c r="C589" s="74" t="s">
        <v>4223</v>
      </c>
    </row>
    <row r="590" ht="15">
      <c r="C590" s="74" t="s">
        <v>4353</v>
      </c>
    </row>
    <row r="591" ht="15">
      <c r="C591" s="74" t="s">
        <v>4184</v>
      </c>
    </row>
    <row r="592" ht="15">
      <c r="C592" s="74" t="s">
        <v>4063</v>
      </c>
    </row>
    <row r="593" ht="15">
      <c r="C593" s="74" t="s">
        <v>4108</v>
      </c>
    </row>
    <row r="594" ht="15">
      <c r="C594" s="74" t="s">
        <v>4107</v>
      </c>
    </row>
    <row r="595" ht="15">
      <c r="C595" s="74" t="s">
        <v>3764</v>
      </c>
    </row>
    <row r="596" ht="15">
      <c r="C596" s="74" t="s">
        <v>3745</v>
      </c>
    </row>
    <row r="597" ht="15">
      <c r="C597" s="74" t="s">
        <v>3748</v>
      </c>
    </row>
    <row r="598" ht="15">
      <c r="C598" s="74" t="s">
        <v>4030</v>
      </c>
    </row>
    <row r="599" ht="15">
      <c r="C599" s="74" t="s">
        <v>3704</v>
      </c>
    </row>
    <row r="600" ht="15">
      <c r="C600" s="74" t="s">
        <v>3705</v>
      </c>
    </row>
    <row r="601" ht="15">
      <c r="C601" s="74" t="s">
        <v>3955</v>
      </c>
    </row>
    <row r="602" ht="15">
      <c r="C602" s="74" t="s">
        <v>3702</v>
      </c>
    </row>
    <row r="603" ht="15">
      <c r="C603" s="74" t="s">
        <v>3703</v>
      </c>
    </row>
    <row r="604" ht="15">
      <c r="C604" s="74" t="s">
        <v>3700</v>
      </c>
    </row>
    <row r="605" ht="15">
      <c r="C605" s="74" t="s">
        <v>3701</v>
      </c>
    </row>
    <row r="606" ht="15">
      <c r="C606" s="74" t="s">
        <v>4282</v>
      </c>
    </row>
    <row r="607" ht="15">
      <c r="C607" s="74" t="s">
        <v>3818</v>
      </c>
    </row>
    <row r="608" ht="15">
      <c r="C608" s="74" t="s">
        <v>4290</v>
      </c>
    </row>
    <row r="609" ht="15">
      <c r="C609" s="74" t="s">
        <v>4291</v>
      </c>
    </row>
    <row r="610" ht="15">
      <c r="C610" s="74" t="s">
        <v>4292</v>
      </c>
    </row>
    <row r="611" ht="15">
      <c r="C611" s="74" t="s">
        <v>4325</v>
      </c>
    </row>
    <row r="612" ht="15">
      <c r="C612" s="74" t="s">
        <v>4031</v>
      </c>
    </row>
    <row r="613" ht="15">
      <c r="C613" s="74" t="s">
        <v>4032</v>
      </c>
    </row>
    <row r="614" ht="15">
      <c r="C614" s="74" t="s">
        <v>4201</v>
      </c>
    </row>
    <row r="615" ht="15">
      <c r="C615" s="74" t="s">
        <v>3926</v>
      </c>
    </row>
    <row r="616" ht="15">
      <c r="C616" s="74" t="s">
        <v>3927</v>
      </c>
    </row>
    <row r="617" ht="15">
      <c r="C617" s="74" t="s">
        <v>3928</v>
      </c>
    </row>
    <row r="618" ht="15">
      <c r="C618" s="74" t="s">
        <v>3929</v>
      </c>
    </row>
    <row r="619" ht="15">
      <c r="C619" s="74" t="s">
        <v>3930</v>
      </c>
    </row>
    <row r="620" ht="15">
      <c r="C620" s="74" t="s">
        <v>3931</v>
      </c>
    </row>
    <row r="621" ht="15">
      <c r="C621" s="74" t="s">
        <v>3823</v>
      </c>
    </row>
    <row r="622" ht="15">
      <c r="C622" s="74" t="s">
        <v>3824</v>
      </c>
    </row>
    <row r="623" ht="15">
      <c r="C623" s="74" t="s">
        <v>3825</v>
      </c>
    </row>
    <row r="624" ht="15">
      <c r="C624" s="74" t="s">
        <v>3848</v>
      </c>
    </row>
    <row r="625" ht="15">
      <c r="C625" s="74" t="s">
        <v>3901</v>
      </c>
    </row>
    <row r="626" ht="15">
      <c r="C626" s="74" t="s">
        <v>4057</v>
      </c>
    </row>
    <row r="627" ht="15">
      <c r="C627" s="74" t="s">
        <v>3817</v>
      </c>
    </row>
    <row r="628" ht="15">
      <c r="C628" s="74" t="s">
        <v>4326</v>
      </c>
    </row>
    <row r="629" ht="15">
      <c r="C629" s="74" t="s">
        <v>3851</v>
      </c>
    </row>
    <row r="630" ht="15">
      <c r="C630" s="74" t="s">
        <v>4287</v>
      </c>
    </row>
    <row r="631" ht="15">
      <c r="C631" s="74" t="s">
        <v>4288</v>
      </c>
    </row>
    <row r="632" ht="15">
      <c r="C632" s="74" t="s">
        <v>4293</v>
      </c>
    </row>
    <row r="633" ht="15">
      <c r="C633" s="74" t="s">
        <v>4056</v>
      </c>
    </row>
    <row r="634" ht="15">
      <c r="C634" s="74" t="s">
        <v>4131</v>
      </c>
    </row>
    <row r="635" ht="15">
      <c r="C635" s="74" t="s">
        <v>4122</v>
      </c>
    </row>
    <row r="636" ht="15">
      <c r="C636" s="74" t="s">
        <v>4095</v>
      </c>
    </row>
    <row r="637" ht="15">
      <c r="C637" s="74" t="s">
        <v>4129</v>
      </c>
    </row>
    <row r="638" ht="15">
      <c r="C638" s="74" t="s">
        <v>3866</v>
      </c>
    </row>
    <row r="639" ht="15">
      <c r="C639" s="74" t="s">
        <v>4100</v>
      </c>
    </row>
    <row r="640" ht="15">
      <c r="C640" s="74" t="s">
        <v>4185</v>
      </c>
    </row>
    <row r="641" ht="15">
      <c r="C641" s="74" t="s">
        <v>4101</v>
      </c>
    </row>
    <row r="642" ht="15">
      <c r="C642" s="74" t="s">
        <v>4079</v>
      </c>
    </row>
    <row r="643" ht="15">
      <c r="C643" s="74" t="s">
        <v>4186</v>
      </c>
    </row>
    <row r="644" ht="15">
      <c r="C644" s="74" t="s">
        <v>4120</v>
      </c>
    </row>
    <row r="645" ht="15">
      <c r="C645" s="74" t="s">
        <v>3847</v>
      </c>
    </row>
    <row r="646" ht="15">
      <c r="C646" s="74" t="s">
        <v>3828</v>
      </c>
    </row>
    <row r="647" ht="15">
      <c r="C647" s="74" t="s">
        <v>4128</v>
      </c>
    </row>
    <row r="648" ht="15">
      <c r="C648" s="74" t="s">
        <v>3749</v>
      </c>
    </row>
    <row r="649" ht="15">
      <c r="C649" s="74" t="s">
        <v>3804</v>
      </c>
    </row>
    <row r="650" ht="15">
      <c r="C650" s="74" t="s">
        <v>4172</v>
      </c>
    </row>
    <row r="651" ht="15">
      <c r="C651" s="74" t="s">
        <v>4037</v>
      </c>
    </row>
    <row r="652" ht="15">
      <c r="C652" s="74" t="s">
        <v>4059</v>
      </c>
    </row>
    <row r="653" ht="15">
      <c r="C653" s="74" t="s">
        <v>4238</v>
      </c>
    </row>
    <row r="654" ht="15">
      <c r="C654" s="74" t="s">
        <v>4023</v>
      </c>
    </row>
    <row r="655" ht="15">
      <c r="C655" s="74" t="s">
        <v>4119</v>
      </c>
    </row>
    <row r="656" ht="15">
      <c r="C656" s="74" t="s">
        <v>4098</v>
      </c>
    </row>
    <row r="657" ht="15">
      <c r="C657" s="74" t="s">
        <v>4099</v>
      </c>
    </row>
    <row r="658" ht="15">
      <c r="C658" s="74" t="s">
        <v>4275</v>
      </c>
    </row>
    <row r="659" ht="15">
      <c r="C659" s="74" t="s">
        <v>4203</v>
      </c>
    </row>
    <row r="660" ht="15">
      <c r="C660" s="74" t="s">
        <v>4216</v>
      </c>
    </row>
    <row r="661" ht="15">
      <c r="C661" s="74" t="s">
        <v>4036</v>
      </c>
    </row>
    <row r="662" ht="15">
      <c r="C662" s="74" t="s">
        <v>4183</v>
      </c>
    </row>
    <row r="663" ht="15">
      <c r="C663" s="74" t="s">
        <v>4240</v>
      </c>
    </row>
    <row r="664" ht="15">
      <c r="C664" s="74" t="s">
        <v>3813</v>
      </c>
    </row>
    <row r="665" ht="15">
      <c r="C665" s="74" t="s">
        <v>3852</v>
      </c>
    </row>
    <row r="666" ht="15">
      <c r="C666" s="74" t="s">
        <v>3858</v>
      </c>
    </row>
    <row r="667" ht="15">
      <c r="C667" s="74" t="s">
        <v>4237</v>
      </c>
    </row>
    <row r="668" ht="15">
      <c r="C668" s="74" t="s">
        <v>4124</v>
      </c>
    </row>
    <row r="669" ht="15">
      <c r="C669" s="74" t="s">
        <v>3726</v>
      </c>
    </row>
    <row r="670" ht="15">
      <c r="C670" s="74" t="s">
        <v>3992</v>
      </c>
    </row>
    <row r="671" ht="15">
      <c r="C671" s="74" t="s">
        <v>3991</v>
      </c>
    </row>
  </sheetData>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0x0085CFDFD086053342A1ED7978898FA83A</ContentTypeId>
    <TemplateUrl xmlns="http://schemas.microsoft.com/sharepoint/v3" xsi:nil="true"/>
    <Osoba xmlns="D0DFCF85-0586-4233-A1ED-7978898FA83A">STAT\KOWALSKAMAL</Osoba>
    <_SourceUrl xmlns="http://schemas.microsoft.com/sharepoint/v3" xsi:nil="true"/>
    <xd_ProgID xmlns="http://schemas.microsoft.com/sharepoint/v3" xsi:nil="true"/>
    <Odbiorcy2 xmlns="D0DFCF85-0586-4233-A1ED-7978898FA83A" xsi:nil="true"/>
    <Order xmlns="http://schemas.microsoft.com/sharepoint/v3" xsi:nil="true"/>
    <NazwaPliku xmlns="D0DFCF85-0586-4233-A1ED-7978898FA83A">Raport DBW v DP.XLSX</NazwaPliku>
    <_SharedFileIndex xmlns="http://schemas.microsoft.com/sharepoint/v3" xsi:nil="true"/>
    <MetaInfo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85CFDFD086053342A1ED7978898FA83A" ma:contentTypeVersion="" ma:contentTypeDescription="" ma:contentTypeScope="" ma:versionID="c5d0691f649e8b491061d89355f6e0cc">
  <xsd:schema xmlns:xsd="http://www.w3.org/2001/XMLSchema" xmlns:xs="http://www.w3.org/2001/XMLSchema" xmlns:p="http://schemas.microsoft.com/office/2006/metadata/properties" xmlns:ns1="http://schemas.microsoft.com/sharepoint/v3" xmlns:ns2="D0DFCF85-0586-4233-A1ED-7978898FA83A" targetNamespace="http://schemas.microsoft.com/office/2006/metadata/properties" ma:root="true" ma:fieldsID="13efb833254f601d6cf1c552c9466227" ns1:_="" ns2:_="">
    <xsd:import namespace="http://schemas.microsoft.com/sharepoint/v3"/>
    <xsd:import namespace="D0DFCF85-0586-4233-A1ED-7978898FA83A"/>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0DFCF85-0586-4233-A1ED-7978898FA83A"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025941-0A68-4B17-974D-BB93C8E109CB}">
  <ds:schemaRefs>
    <ds:schemaRef ds:uri="http://purl.org/dc/elements/1.1/"/>
    <ds:schemaRef ds:uri="http://purl.org/dc/terms/"/>
    <ds:schemaRef ds:uri="http://purl.org/dc/dcmitype/"/>
    <ds:schemaRef ds:uri="http://schemas.openxmlformats.org/package/2006/metadata/core-properties"/>
    <ds:schemaRef ds:uri="http://schemas.microsoft.com/sharepoint/v3"/>
    <ds:schemaRef ds:uri="http://www.w3.org/XML/1998/namespace"/>
    <ds:schemaRef ds:uri="http://schemas.microsoft.com/office/2006/documentManagement/types"/>
    <ds:schemaRef ds:uri="http://schemas.microsoft.com/office/infopath/2007/PartnerControls"/>
    <ds:schemaRef ds:uri="D0DFCF85-0586-4233-A1ED-7978898FA83A"/>
    <ds:schemaRef ds:uri="http://schemas.microsoft.com/office/2006/metadata/properties"/>
  </ds:schemaRefs>
</ds:datastoreItem>
</file>

<file path=customXml/itemProps2.xml><?xml version="1.0" encoding="utf-8"?>
<ds:datastoreItem xmlns:ds="http://schemas.openxmlformats.org/officeDocument/2006/customXml" ds:itemID="{8C8BD3DA-3CE6-4CE0-A586-C1A2EAF744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0DFCF85-0586-4233-A1ED-7978898FA8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JerzyK</dc:creator>
  <cp:keywords/>
  <dc:description/>
  <cp:lastModifiedBy>Kowalik Radosław</cp:lastModifiedBy>
  <cp:lastPrinted>2018-02-02T09:31:51Z</cp:lastPrinted>
  <dcterms:created xsi:type="dcterms:W3CDTF">2016-05-03T06:16:41Z</dcterms:created>
  <dcterms:modified xsi:type="dcterms:W3CDTF">2021-01-27T09:03:23Z</dcterms:modified>
  <cp:category/>
  <cp:version/>
  <cp:contentType/>
  <cp:contentStatus/>
</cp:coreProperties>
</file>